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Šī_darbgrāmata"/>
  <mc:AlternateContent xmlns:mc="http://schemas.openxmlformats.org/markup-compatibility/2006">
    <mc:Choice Requires="x15">
      <x15ac:absPath xmlns:x15ac="http://schemas.microsoft.com/office/spreadsheetml/2010/11/ac" url="https://traumas-my.sharepoint.com/personal/anita_vaivode_tos_lv/Documents/Dokumenti/2022/Budžets/"/>
    </mc:Choice>
  </mc:AlternateContent>
  <xr:revisionPtr revIDLastSave="0" documentId="8_{C2E3DEDC-95FD-4888-9176-ACA89D8BB52F}" xr6:coauthVersionLast="47" xr6:coauthVersionMax="47" xr10:uidLastSave="{00000000-0000-0000-0000-000000000000}"/>
  <bookViews>
    <workbookView xWindow="-120" yWindow="-120" windowWidth="29040" windowHeight="15840" activeTab="6" xr2:uid="{00000000-000D-0000-FFFF-FFFF00000000}"/>
  </bookViews>
  <sheets>
    <sheet name="Budžeta_tāme" sheetId="2" r:id="rId1"/>
    <sheet name="PZ_aprēķins" sheetId="12" r:id="rId2"/>
    <sheet name="Bilance" sheetId="11" r:id="rId3"/>
    <sheet name="Naudas_plūsma" sheetId="5" r:id="rId4"/>
    <sheet name="Naturālie_rādītāji" sheetId="10" r:id="rId5"/>
    <sheet name="Ieguldījumu tāme" sheetId="16" r:id="rId6"/>
    <sheet name="Kreditori_Debitori" sheetId="14" r:id="rId7"/>
  </sheets>
  <externalReferences>
    <externalReference r:id="rId8"/>
  </externalReferences>
  <definedNames>
    <definedName name="dff">#NAME?</definedName>
    <definedName name="_xlnm.Print_Area" localSheetId="2">Bilance!$A$1:$M$55</definedName>
    <definedName name="_xlnm.Print_Area" localSheetId="0">Budžeta_tāme!$A$1:$M$33</definedName>
    <definedName name="_xlnm.Print_Area" localSheetId="6">Kreditori_Debitori!$A$1:$C$116</definedName>
    <definedName name="_xlnm.Print_Area" localSheetId="4">Naturālie_rādītāji!$A$1:$M$106</definedName>
    <definedName name="_xlnm.Print_Area" localSheetId="3">Naudas_plūsma!#REF!</definedName>
    <definedName name="_xlnm.Print_Area" localSheetId="1">PZ_aprēķins!#REF!</definedName>
    <definedName name="_xlnm.Print_Titles" localSheetId="4">Naturālie_rādītāji!$1:$2</definedName>
    <definedName name="hh" localSheetId="4">#REF!</definedName>
    <definedName name="hh">#REF!</definedName>
    <definedName name="izm.kods" localSheetId="4">#REF!</definedName>
    <definedName name="izm.kods">#REF!</definedName>
    <definedName name="izm.kods_1">[1]izm.posteni!$A$2:$A$216</definedName>
    <definedName name="izm.nos">#REF!</definedName>
    <definedName name="izm.nos_1">[1]izm.posteni!$B$2:$B$216</definedName>
    <definedName name="S5\">#REF!</definedName>
    <definedName name="Str.">#REF!</definedName>
    <definedName name="Str.vien.nos.">#REF!</definedName>
    <definedName name="Struktura">#REF!</definedName>
    <definedName name="Struktūrvien.kodi2">#REF!</definedName>
    <definedName name="Struktūrvien.kodi2_1">[1]strukturkodi!$B$2:$B$232</definedName>
    <definedName name="Struktūrvien.kods">#REF!</definedName>
    <definedName name="Struktūrvien.kods_1">[1]strukturkodi!$A$2:$A$232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14" l="1"/>
  <c r="E84" i="14"/>
  <c r="D84" i="14"/>
  <c r="K140" i="5"/>
  <c r="L140" i="5" s="1"/>
  <c r="K139" i="5"/>
  <c r="L139" i="5" s="1"/>
  <c r="K138" i="5"/>
  <c r="L138" i="5" s="1"/>
  <c r="K137" i="5"/>
  <c r="L137" i="5" s="1"/>
  <c r="K136" i="5"/>
  <c r="L136" i="5" s="1"/>
  <c r="K135" i="5"/>
  <c r="L135" i="5" s="1"/>
  <c r="K134" i="5"/>
  <c r="L134" i="5" s="1"/>
  <c r="K132" i="5"/>
  <c r="L132" i="5" s="1"/>
  <c r="K131" i="5"/>
  <c r="L131" i="5" s="1"/>
  <c r="K129" i="5"/>
  <c r="L129" i="5" s="1"/>
  <c r="K128" i="5"/>
  <c r="L128" i="5" s="1"/>
  <c r="K127" i="5"/>
  <c r="L127" i="5" s="1"/>
  <c r="K126" i="5"/>
  <c r="L126" i="5" s="1"/>
  <c r="K125" i="5"/>
  <c r="L125" i="5" s="1"/>
  <c r="K124" i="5"/>
  <c r="L124" i="5" s="1"/>
  <c r="K122" i="5"/>
  <c r="L122" i="5" s="1"/>
  <c r="L121" i="5"/>
  <c r="K119" i="5"/>
  <c r="L119" i="5" s="1"/>
  <c r="L118" i="5"/>
  <c r="K118" i="5"/>
  <c r="L116" i="5"/>
  <c r="K116" i="5"/>
  <c r="K115" i="5"/>
  <c r="L115" i="5" s="1"/>
  <c r="K113" i="5"/>
  <c r="L113" i="5" s="1"/>
  <c r="L112" i="5"/>
  <c r="K112" i="5"/>
  <c r="K109" i="5"/>
  <c r="L109" i="5" s="1"/>
  <c r="K108" i="5"/>
  <c r="L108" i="5" s="1"/>
  <c r="L106" i="5"/>
  <c r="K104" i="5"/>
  <c r="L104" i="5" s="1"/>
  <c r="K103" i="5"/>
  <c r="L103" i="5" s="1"/>
  <c r="L102" i="5"/>
  <c r="K102" i="5"/>
  <c r="K101" i="5"/>
  <c r="L101" i="5" s="1"/>
  <c r="K100" i="5"/>
  <c r="L100" i="5" s="1"/>
  <c r="K99" i="5"/>
  <c r="L99" i="5" s="1"/>
  <c r="K97" i="5"/>
  <c r="L97" i="5" s="1"/>
  <c r="L96" i="5"/>
  <c r="K96" i="5"/>
  <c r="K94" i="5"/>
  <c r="L94" i="5" s="1"/>
  <c r="K93" i="5"/>
  <c r="L93" i="5" s="1"/>
  <c r="K91" i="5"/>
  <c r="L91" i="5" s="1"/>
  <c r="L90" i="5"/>
  <c r="K90" i="5"/>
  <c r="K87" i="5"/>
  <c r="L87" i="5" s="1"/>
  <c r="K86" i="5"/>
  <c r="L86" i="5" s="1"/>
  <c r="L84" i="5"/>
  <c r="K84" i="5"/>
  <c r="K83" i="5"/>
  <c r="L83" i="5" s="1"/>
  <c r="K81" i="5"/>
  <c r="L81" i="5" s="1"/>
  <c r="K80" i="5"/>
  <c r="L80" i="5" s="1"/>
  <c r="L78" i="5"/>
  <c r="K78" i="5"/>
  <c r="K77" i="5"/>
  <c r="L77" i="5" s="1"/>
  <c r="K75" i="5"/>
  <c r="L75" i="5" s="1"/>
  <c r="K74" i="5"/>
  <c r="L74" i="5" s="1"/>
  <c r="K71" i="5"/>
  <c r="L71" i="5" s="1"/>
  <c r="K70" i="5"/>
  <c r="L70" i="5" s="1"/>
  <c r="K68" i="5"/>
  <c r="L68" i="5" s="1"/>
  <c r="K67" i="5"/>
  <c r="L67" i="5" s="1"/>
  <c r="K65" i="5"/>
  <c r="L65" i="5" s="1"/>
  <c r="K64" i="5"/>
  <c r="L64" i="5" s="1"/>
  <c r="K62" i="5"/>
  <c r="L62" i="5" s="1"/>
  <c r="K61" i="5"/>
  <c r="L61" i="5" s="1"/>
  <c r="K59" i="5"/>
  <c r="L59" i="5" s="1"/>
  <c r="K58" i="5"/>
  <c r="L58" i="5" s="1"/>
  <c r="L54" i="5"/>
  <c r="K54" i="5"/>
  <c r="G138" i="5"/>
  <c r="G39" i="5"/>
  <c r="G98" i="5"/>
  <c r="G95" i="5"/>
  <c r="G92" i="5"/>
  <c r="G89" i="5"/>
  <c r="G82" i="5"/>
  <c r="G79" i="5"/>
  <c r="G76" i="5"/>
  <c r="G73" i="5"/>
  <c r="G72" i="5"/>
  <c r="G69" i="5"/>
  <c r="K69" i="5" s="1"/>
  <c r="L69" i="5" s="1"/>
  <c r="G66" i="5"/>
  <c r="G63" i="5"/>
  <c r="G60" i="5"/>
  <c r="G57" i="5"/>
  <c r="K79" i="16"/>
  <c r="L79" i="16" s="1"/>
  <c r="H79" i="16"/>
  <c r="I79" i="16" s="1"/>
  <c r="L77" i="16"/>
  <c r="K77" i="16"/>
  <c r="H77" i="16"/>
  <c r="I77" i="16" s="1"/>
  <c r="K76" i="16"/>
  <c r="L76" i="16" s="1"/>
  <c r="I76" i="16"/>
  <c r="H76" i="16"/>
  <c r="G75" i="16"/>
  <c r="H75" i="16" s="1"/>
  <c r="I75" i="16" s="1"/>
  <c r="L74" i="16"/>
  <c r="K74" i="16"/>
  <c r="H74" i="16"/>
  <c r="I74" i="16" s="1"/>
  <c r="K73" i="16"/>
  <c r="L73" i="16" s="1"/>
  <c r="G73" i="16"/>
  <c r="G66" i="16" s="1"/>
  <c r="K72" i="16"/>
  <c r="L72" i="16" s="1"/>
  <c r="I72" i="16"/>
  <c r="H72" i="16"/>
  <c r="K71" i="16"/>
  <c r="L71" i="16" s="1"/>
  <c r="H71" i="16"/>
  <c r="I71" i="16" s="1"/>
  <c r="L70" i="16"/>
  <c r="K70" i="16"/>
  <c r="H70" i="16"/>
  <c r="I70" i="16" s="1"/>
  <c r="K69" i="16"/>
  <c r="L69" i="16" s="1"/>
  <c r="I69" i="16"/>
  <c r="H69" i="16"/>
  <c r="K68" i="16"/>
  <c r="L68" i="16" s="1"/>
  <c r="H68" i="16"/>
  <c r="I68" i="16" s="1"/>
  <c r="L67" i="16"/>
  <c r="K67" i="16"/>
  <c r="H67" i="16"/>
  <c r="I67" i="16" s="1"/>
  <c r="F66" i="16"/>
  <c r="K65" i="16"/>
  <c r="L65" i="16" s="1"/>
  <c r="G65" i="16"/>
  <c r="H65" i="16" s="1"/>
  <c r="I65" i="16" s="1"/>
  <c r="K63" i="16"/>
  <c r="L63" i="16" s="1"/>
  <c r="H63" i="16"/>
  <c r="I63" i="16" s="1"/>
  <c r="G63" i="16"/>
  <c r="G60" i="16"/>
  <c r="K60" i="16" s="1"/>
  <c r="L60" i="16" s="1"/>
  <c r="K59" i="16"/>
  <c r="L59" i="16" s="1"/>
  <c r="H59" i="16"/>
  <c r="I59" i="16" s="1"/>
  <c r="K58" i="16"/>
  <c r="L58" i="16" s="1"/>
  <c r="I58" i="16"/>
  <c r="H58" i="16"/>
  <c r="K48" i="16"/>
  <c r="L48" i="16" s="1"/>
  <c r="H48" i="16"/>
  <c r="I48" i="16" s="1"/>
  <c r="G48" i="16"/>
  <c r="K47" i="16"/>
  <c r="L47" i="16" s="1"/>
  <c r="H47" i="16"/>
  <c r="I47" i="16" s="1"/>
  <c r="L46" i="16"/>
  <c r="K46" i="16"/>
  <c r="H46" i="16"/>
  <c r="I46" i="16" s="1"/>
  <c r="K45" i="16"/>
  <c r="L45" i="16" s="1"/>
  <c r="I45" i="16"/>
  <c r="H45" i="16"/>
  <c r="K44" i="16"/>
  <c r="L44" i="16" s="1"/>
  <c r="H44" i="16"/>
  <c r="I44" i="16" s="1"/>
  <c r="L43" i="16"/>
  <c r="K43" i="16"/>
  <c r="H43" i="16"/>
  <c r="I43" i="16" s="1"/>
  <c r="K42" i="16"/>
  <c r="L42" i="16" s="1"/>
  <c r="G42" i="16"/>
  <c r="H42" i="16" s="1"/>
  <c r="I42" i="16" s="1"/>
  <c r="K41" i="16"/>
  <c r="L41" i="16" s="1"/>
  <c r="H41" i="16"/>
  <c r="I41" i="16" s="1"/>
  <c r="L40" i="16"/>
  <c r="K40" i="16"/>
  <c r="H40" i="16"/>
  <c r="I40" i="16" s="1"/>
  <c r="K39" i="16"/>
  <c r="L39" i="16" s="1"/>
  <c r="H39" i="16"/>
  <c r="I39" i="16" s="1"/>
  <c r="K38" i="16"/>
  <c r="L38" i="16" s="1"/>
  <c r="H38" i="16"/>
  <c r="I38" i="16" s="1"/>
  <c r="G37" i="16"/>
  <c r="K37" i="16" s="1"/>
  <c r="L37" i="16" s="1"/>
  <c r="L36" i="16"/>
  <c r="K36" i="16"/>
  <c r="H36" i="16"/>
  <c r="I36" i="16" s="1"/>
  <c r="K35" i="16"/>
  <c r="L35" i="16" s="1"/>
  <c r="I35" i="16"/>
  <c r="H35" i="16"/>
  <c r="G34" i="16"/>
  <c r="K34" i="16" s="1"/>
  <c r="L34" i="16" s="1"/>
  <c r="G33" i="16"/>
  <c r="K33" i="16" s="1"/>
  <c r="L33" i="16" s="1"/>
  <c r="L32" i="16"/>
  <c r="K32" i="16"/>
  <c r="H32" i="16"/>
  <c r="I32" i="16" s="1"/>
  <c r="K31" i="16"/>
  <c r="L31" i="16" s="1"/>
  <c r="I31" i="16"/>
  <c r="H31" i="16"/>
  <c r="K30" i="16"/>
  <c r="L30" i="16" s="1"/>
  <c r="H30" i="16"/>
  <c r="I30" i="16" s="1"/>
  <c r="G29" i="16"/>
  <c r="K29" i="16" s="1"/>
  <c r="L29" i="16" s="1"/>
  <c r="G28" i="16"/>
  <c r="F27" i="16"/>
  <c r="F26" i="16" s="1"/>
  <c r="F25" i="16" s="1"/>
  <c r="F80" i="16" s="1"/>
  <c r="E26" i="16"/>
  <c r="E25" i="16" s="1"/>
  <c r="K24" i="16"/>
  <c r="L24" i="16" s="1"/>
  <c r="H24" i="16"/>
  <c r="I24" i="16" s="1"/>
  <c r="L23" i="16"/>
  <c r="K23" i="16"/>
  <c r="H23" i="16"/>
  <c r="I23" i="16" s="1"/>
  <c r="K22" i="16"/>
  <c r="L22" i="16" s="1"/>
  <c r="I22" i="16"/>
  <c r="H22" i="16"/>
  <c r="K21" i="16"/>
  <c r="L21" i="16" s="1"/>
  <c r="H21" i="16"/>
  <c r="I21" i="16" s="1"/>
  <c r="L20" i="16"/>
  <c r="K20" i="16"/>
  <c r="H20" i="16"/>
  <c r="I20" i="16" s="1"/>
  <c r="K19" i="16"/>
  <c r="L19" i="16" s="1"/>
  <c r="I19" i="16"/>
  <c r="H19" i="16"/>
  <c r="K18" i="16"/>
  <c r="L18" i="16" s="1"/>
  <c r="H18" i="16"/>
  <c r="I18" i="16" s="1"/>
  <c r="G17" i="16"/>
  <c r="K17" i="16" s="1"/>
  <c r="L17" i="16" s="1"/>
  <c r="E17" i="16"/>
  <c r="L16" i="16"/>
  <c r="K16" i="16"/>
  <c r="H16" i="16"/>
  <c r="I16" i="16" s="1"/>
  <c r="K15" i="16"/>
  <c r="L15" i="16" s="1"/>
  <c r="I15" i="16"/>
  <c r="H15" i="16"/>
  <c r="K14" i="16"/>
  <c r="L14" i="16" s="1"/>
  <c r="H14" i="16"/>
  <c r="I14" i="16" s="1"/>
  <c r="L13" i="16"/>
  <c r="K13" i="16"/>
  <c r="H13" i="16"/>
  <c r="I13" i="16" s="1"/>
  <c r="K12" i="16"/>
  <c r="L12" i="16" s="1"/>
  <c r="I12" i="16"/>
  <c r="H12" i="16"/>
  <c r="H11" i="16"/>
  <c r="I11" i="16" s="1"/>
  <c r="E11" i="16"/>
  <c r="E4" i="16" s="1"/>
  <c r="L10" i="16"/>
  <c r="K10" i="16"/>
  <c r="H10" i="16"/>
  <c r="I10" i="16" s="1"/>
  <c r="K9" i="16"/>
  <c r="L9" i="16" s="1"/>
  <c r="H9" i="16"/>
  <c r="I9" i="16" s="1"/>
  <c r="K8" i="16"/>
  <c r="L8" i="16" s="1"/>
  <c r="H8" i="16"/>
  <c r="I8" i="16" s="1"/>
  <c r="G8" i="16"/>
  <c r="K7" i="16"/>
  <c r="L7" i="16" s="1"/>
  <c r="H7" i="16"/>
  <c r="I7" i="16" s="1"/>
  <c r="L6" i="16"/>
  <c r="K6" i="16"/>
  <c r="H6" i="16"/>
  <c r="I6" i="16" s="1"/>
  <c r="K5" i="16"/>
  <c r="L5" i="16" s="1"/>
  <c r="I5" i="16"/>
  <c r="H5" i="16"/>
  <c r="G4" i="16"/>
  <c r="H4" i="16" s="1"/>
  <c r="I4" i="16" s="1"/>
  <c r="D59" i="11"/>
  <c r="K54" i="11"/>
  <c r="L54" i="11" s="1"/>
  <c r="H54" i="11"/>
  <c r="I54" i="11" s="1"/>
  <c r="K53" i="11"/>
  <c r="L53" i="11" s="1"/>
  <c r="H53" i="11"/>
  <c r="I53" i="11" s="1"/>
  <c r="K52" i="11"/>
  <c r="L52" i="11" s="1"/>
  <c r="H52" i="11"/>
  <c r="I52" i="11" s="1"/>
  <c r="K51" i="11"/>
  <c r="L51" i="11" s="1"/>
  <c r="H51" i="11"/>
  <c r="I51" i="11" s="1"/>
  <c r="K50" i="11"/>
  <c r="L50" i="11" s="1"/>
  <c r="H50" i="11"/>
  <c r="I50" i="11" s="1"/>
  <c r="K49" i="11"/>
  <c r="L49" i="11" s="1"/>
  <c r="H49" i="11"/>
  <c r="I49" i="11" s="1"/>
  <c r="G48" i="11"/>
  <c r="F48" i="11"/>
  <c r="E48" i="11"/>
  <c r="D48" i="11"/>
  <c r="C48" i="11"/>
  <c r="C43" i="11" s="1"/>
  <c r="K47" i="11"/>
  <c r="L47" i="11" s="1"/>
  <c r="H47" i="11"/>
  <c r="I47" i="11" s="1"/>
  <c r="K46" i="11"/>
  <c r="L46" i="11" s="1"/>
  <c r="H46" i="11"/>
  <c r="I46" i="11" s="1"/>
  <c r="K45" i="11"/>
  <c r="L45" i="11" s="1"/>
  <c r="H45" i="11"/>
  <c r="I45" i="11" s="1"/>
  <c r="G44" i="11"/>
  <c r="F44" i="11"/>
  <c r="E44" i="11"/>
  <c r="D44" i="11"/>
  <c r="D43" i="11" s="1"/>
  <c r="C44" i="11"/>
  <c r="F43" i="11"/>
  <c r="K42" i="11"/>
  <c r="L42" i="11" s="1"/>
  <c r="H42" i="11"/>
  <c r="I42" i="11" s="1"/>
  <c r="L41" i="11"/>
  <c r="K41" i="11"/>
  <c r="H41" i="11"/>
  <c r="I41" i="11" s="1"/>
  <c r="K40" i="11"/>
  <c r="L40" i="11" s="1"/>
  <c r="H40" i="11"/>
  <c r="I40" i="11" s="1"/>
  <c r="K39" i="11"/>
  <c r="L39" i="11" s="1"/>
  <c r="H39" i="11"/>
  <c r="I39" i="11" s="1"/>
  <c r="K38" i="11"/>
  <c r="L38" i="11" s="1"/>
  <c r="H38" i="11"/>
  <c r="I38" i="11" s="1"/>
  <c r="K37" i="11"/>
  <c r="L37" i="11" s="1"/>
  <c r="H37" i="11"/>
  <c r="I37" i="11" s="1"/>
  <c r="K36" i="11"/>
  <c r="L36" i="11" s="1"/>
  <c r="H36" i="11"/>
  <c r="I36" i="11" s="1"/>
  <c r="L35" i="11"/>
  <c r="K35" i="11"/>
  <c r="H35" i="11"/>
  <c r="I35" i="11" s="1"/>
  <c r="K34" i="11"/>
  <c r="L34" i="11" s="1"/>
  <c r="H34" i="11"/>
  <c r="I34" i="11" s="1"/>
  <c r="G33" i="11"/>
  <c r="K33" i="11" s="1"/>
  <c r="L33" i="11" s="1"/>
  <c r="F33" i="11"/>
  <c r="F29" i="11" s="1"/>
  <c r="F55" i="11" s="1"/>
  <c r="E33" i="11"/>
  <c r="D33" i="11"/>
  <c r="C33" i="11"/>
  <c r="C29" i="11" s="1"/>
  <c r="K32" i="11"/>
  <c r="L32" i="11" s="1"/>
  <c r="H32" i="11"/>
  <c r="I32" i="11" s="1"/>
  <c r="K31" i="11"/>
  <c r="L31" i="11" s="1"/>
  <c r="H31" i="11"/>
  <c r="I31" i="11" s="1"/>
  <c r="K30" i="11"/>
  <c r="L30" i="11" s="1"/>
  <c r="H30" i="11"/>
  <c r="I30" i="11" s="1"/>
  <c r="E29" i="11"/>
  <c r="D29" i="11"/>
  <c r="K26" i="11"/>
  <c r="L26" i="11" s="1"/>
  <c r="H26" i="11"/>
  <c r="I26" i="11" s="1"/>
  <c r="K25" i="11"/>
  <c r="L25" i="11" s="1"/>
  <c r="H25" i="11"/>
  <c r="I25" i="11" s="1"/>
  <c r="K24" i="11"/>
  <c r="L24" i="11" s="1"/>
  <c r="H24" i="11"/>
  <c r="I24" i="11" s="1"/>
  <c r="K23" i="11"/>
  <c r="L23" i="11" s="1"/>
  <c r="H23" i="11"/>
  <c r="I23" i="11" s="1"/>
  <c r="L22" i="11"/>
  <c r="I22" i="11"/>
  <c r="H22" i="11"/>
  <c r="K21" i="11"/>
  <c r="L21" i="11" s="1"/>
  <c r="H21" i="11"/>
  <c r="I21" i="11" s="1"/>
  <c r="K20" i="11"/>
  <c r="L20" i="11" s="1"/>
  <c r="H20" i="11"/>
  <c r="I20" i="11" s="1"/>
  <c r="K19" i="11"/>
  <c r="L19" i="11" s="1"/>
  <c r="H19" i="11"/>
  <c r="I19" i="11" s="1"/>
  <c r="G18" i="11"/>
  <c r="G59" i="11" s="1"/>
  <c r="F18" i="11"/>
  <c r="F59" i="11" s="1"/>
  <c r="E18" i="11"/>
  <c r="D18" i="11"/>
  <c r="C18" i="11"/>
  <c r="C59" i="11" s="1"/>
  <c r="K17" i="11"/>
  <c r="L17" i="11" s="1"/>
  <c r="H17" i="11"/>
  <c r="I17" i="11" s="1"/>
  <c r="K16" i="11"/>
  <c r="L16" i="11" s="1"/>
  <c r="H16" i="11"/>
  <c r="I16" i="11" s="1"/>
  <c r="K15" i="11"/>
  <c r="L15" i="11" s="1"/>
  <c r="H15" i="11"/>
  <c r="I15" i="11" s="1"/>
  <c r="K14" i="11"/>
  <c r="L14" i="11" s="1"/>
  <c r="H14" i="11"/>
  <c r="I14" i="11" s="1"/>
  <c r="K13" i="11"/>
  <c r="L13" i="11" s="1"/>
  <c r="H13" i="11"/>
  <c r="I13" i="11" s="1"/>
  <c r="K12" i="11"/>
  <c r="L12" i="11" s="1"/>
  <c r="H12" i="11"/>
  <c r="I12" i="11" s="1"/>
  <c r="G11" i="11"/>
  <c r="G58" i="11" s="1"/>
  <c r="F11" i="11"/>
  <c r="E11" i="11"/>
  <c r="D11" i="11"/>
  <c r="D58" i="11" s="1"/>
  <c r="C11" i="11"/>
  <c r="C58" i="11" s="1"/>
  <c r="K9" i="11"/>
  <c r="L9" i="11" s="1"/>
  <c r="H9" i="11"/>
  <c r="I9" i="11" s="1"/>
  <c r="K8" i="11"/>
  <c r="L8" i="11" s="1"/>
  <c r="H8" i="11"/>
  <c r="I8" i="11" s="1"/>
  <c r="K7" i="11"/>
  <c r="L7" i="11" s="1"/>
  <c r="H7" i="11"/>
  <c r="I7" i="11" s="1"/>
  <c r="G6" i="11"/>
  <c r="G3" i="11" s="1"/>
  <c r="F6" i="11"/>
  <c r="F3" i="11" s="1"/>
  <c r="E6" i="11"/>
  <c r="D6" i="11"/>
  <c r="D3" i="11" s="1"/>
  <c r="C6" i="11"/>
  <c r="C3" i="11" s="1"/>
  <c r="K5" i="11"/>
  <c r="L5" i="11" s="1"/>
  <c r="H5" i="11"/>
  <c r="I5" i="11" s="1"/>
  <c r="K4" i="11"/>
  <c r="L4" i="11" s="1"/>
  <c r="H4" i="11"/>
  <c r="I4" i="11" s="1"/>
  <c r="F22" i="12"/>
  <c r="D22" i="12"/>
  <c r="K21" i="12"/>
  <c r="L21" i="12" s="1"/>
  <c r="H21" i="12"/>
  <c r="I21" i="12" s="1"/>
  <c r="L20" i="12"/>
  <c r="K20" i="12"/>
  <c r="H20" i="12"/>
  <c r="I20" i="12" s="1"/>
  <c r="L19" i="12"/>
  <c r="K19" i="12"/>
  <c r="H19" i="12"/>
  <c r="I19" i="12" s="1"/>
  <c r="K18" i="12"/>
  <c r="L18" i="12" s="1"/>
  <c r="H18" i="12"/>
  <c r="I18" i="12" s="1"/>
  <c r="L17" i="12"/>
  <c r="K17" i="12"/>
  <c r="H17" i="12"/>
  <c r="I17" i="12" s="1"/>
  <c r="L16" i="12"/>
  <c r="K16" i="12"/>
  <c r="H16" i="12"/>
  <c r="I16" i="12" s="1"/>
  <c r="G15" i="12"/>
  <c r="H15" i="12" s="1"/>
  <c r="I15" i="12" s="1"/>
  <c r="K14" i="12"/>
  <c r="L14" i="12" s="1"/>
  <c r="H14" i="12"/>
  <c r="I14" i="12" s="1"/>
  <c r="K13" i="12"/>
  <c r="L13" i="12" s="1"/>
  <c r="H13" i="12"/>
  <c r="I13" i="12" s="1"/>
  <c r="K12" i="12"/>
  <c r="L12" i="12" s="1"/>
  <c r="H12" i="12"/>
  <c r="I12" i="12" s="1"/>
  <c r="K11" i="12"/>
  <c r="L11" i="12" s="1"/>
  <c r="H11" i="12"/>
  <c r="I11" i="12" s="1"/>
  <c r="K10" i="12"/>
  <c r="L10" i="12" s="1"/>
  <c r="H10" i="12"/>
  <c r="I10" i="12" s="1"/>
  <c r="K9" i="12"/>
  <c r="L9" i="12" s="1"/>
  <c r="H9" i="12"/>
  <c r="I9" i="12" s="1"/>
  <c r="E9" i="12"/>
  <c r="C9" i="12"/>
  <c r="K8" i="12"/>
  <c r="L8" i="12" s="1"/>
  <c r="H8" i="12"/>
  <c r="I8" i="12" s="1"/>
  <c r="K7" i="12"/>
  <c r="L7" i="12" s="1"/>
  <c r="H7" i="12"/>
  <c r="I7" i="12" s="1"/>
  <c r="K6" i="12"/>
  <c r="L6" i="12" s="1"/>
  <c r="H6" i="12"/>
  <c r="I6" i="12" s="1"/>
  <c r="G5" i="12"/>
  <c r="K5" i="12" s="1"/>
  <c r="L5" i="12" s="1"/>
  <c r="F5" i="12"/>
  <c r="D5" i="12"/>
  <c r="K4" i="12"/>
  <c r="L4" i="12" s="1"/>
  <c r="I4" i="12"/>
  <c r="H4" i="12"/>
  <c r="K3" i="12"/>
  <c r="L3" i="12" s="1"/>
  <c r="I3" i="12"/>
  <c r="H3" i="12"/>
  <c r="C10" i="11" l="1"/>
  <c r="C27" i="11" s="1"/>
  <c r="D10" i="11"/>
  <c r="C55" i="11"/>
  <c r="E43" i="11"/>
  <c r="K43" i="11" s="1"/>
  <c r="L43" i="11" s="1"/>
  <c r="K6" i="11"/>
  <c r="L6" i="11" s="1"/>
  <c r="E10" i="11"/>
  <c r="K48" i="11"/>
  <c r="L48" i="11" s="1"/>
  <c r="F10" i="11"/>
  <c r="F27" i="11" s="1"/>
  <c r="H44" i="11"/>
  <c r="I44" i="11" s="1"/>
  <c r="H48" i="11"/>
  <c r="I48" i="11" s="1"/>
  <c r="D57" i="11"/>
  <c r="K18" i="11"/>
  <c r="L18" i="11" s="1"/>
  <c r="G43" i="11"/>
  <c r="E55" i="11"/>
  <c r="G10" i="11"/>
  <c r="G27" i="11" s="1"/>
  <c r="K11" i="11"/>
  <c r="L11" i="11" s="1"/>
  <c r="E58" i="11"/>
  <c r="K58" i="11" s="1"/>
  <c r="L58" i="11" s="1"/>
  <c r="E3" i="11"/>
  <c r="E27" i="11" s="1"/>
  <c r="H6" i="11"/>
  <c r="I6" i="11" s="1"/>
  <c r="H43" i="11"/>
  <c r="I43" i="11" s="1"/>
  <c r="D55" i="11"/>
  <c r="G88" i="5"/>
  <c r="G56" i="5"/>
  <c r="E80" i="16"/>
  <c r="H66" i="16"/>
  <c r="I66" i="16" s="1"/>
  <c r="K66" i="16"/>
  <c r="L66" i="16" s="1"/>
  <c r="G27" i="16"/>
  <c r="H33" i="16"/>
  <c r="I33" i="16" s="1"/>
  <c r="K11" i="16"/>
  <c r="L11" i="16" s="1"/>
  <c r="H17" i="16"/>
  <c r="I17" i="16" s="1"/>
  <c r="K75" i="16"/>
  <c r="L75" i="16" s="1"/>
  <c r="H73" i="16"/>
  <c r="I73" i="16" s="1"/>
  <c r="H34" i="16"/>
  <c r="I34" i="16" s="1"/>
  <c r="H60" i="16"/>
  <c r="I60" i="16" s="1"/>
  <c r="H37" i="16"/>
  <c r="I37" i="16" s="1"/>
  <c r="K4" i="16"/>
  <c r="L4" i="16" s="1"/>
  <c r="H29" i="16"/>
  <c r="I29" i="16" s="1"/>
  <c r="G57" i="11"/>
  <c r="H3" i="11"/>
  <c r="I3" i="11" s="1"/>
  <c r="K3" i="11"/>
  <c r="L3" i="11" s="1"/>
  <c r="D27" i="11"/>
  <c r="H59" i="11"/>
  <c r="I59" i="11" s="1"/>
  <c r="C57" i="11"/>
  <c r="K44" i="11"/>
  <c r="L44" i="11" s="1"/>
  <c r="H33" i="11"/>
  <c r="I33" i="11" s="1"/>
  <c r="E59" i="11"/>
  <c r="K59" i="11" s="1"/>
  <c r="L59" i="11" s="1"/>
  <c r="H18" i="11"/>
  <c r="I18" i="11" s="1"/>
  <c r="G29" i="11"/>
  <c r="H11" i="11"/>
  <c r="I11" i="11" s="1"/>
  <c r="F58" i="11"/>
  <c r="F57" i="11" s="1"/>
  <c r="K15" i="12"/>
  <c r="L15" i="12" s="1"/>
  <c r="H5" i="12"/>
  <c r="I5" i="12" s="1"/>
  <c r="G22" i="12"/>
  <c r="E57" i="11" l="1"/>
  <c r="K57" i="11" s="1"/>
  <c r="L57" i="11" s="1"/>
  <c r="K10" i="11"/>
  <c r="L10" i="11" s="1"/>
  <c r="H10" i="11"/>
  <c r="I10" i="11" s="1"/>
  <c r="G55" i="5"/>
  <c r="G26" i="16"/>
  <c r="K27" i="16"/>
  <c r="L27" i="16" s="1"/>
  <c r="H27" i="16"/>
  <c r="I27" i="16" s="1"/>
  <c r="H29" i="11"/>
  <c r="I29" i="11" s="1"/>
  <c r="K29" i="11"/>
  <c r="L29" i="11" s="1"/>
  <c r="G55" i="11"/>
  <c r="H57" i="11"/>
  <c r="I57" i="11" s="1"/>
  <c r="H27" i="11"/>
  <c r="I27" i="11" s="1"/>
  <c r="K27" i="11"/>
  <c r="L27" i="11" s="1"/>
  <c r="H58" i="11"/>
  <c r="I58" i="11" s="1"/>
  <c r="K22" i="12"/>
  <c r="L22" i="12" s="1"/>
  <c r="H22" i="12"/>
  <c r="I22" i="12" s="1"/>
  <c r="G53" i="5" l="1"/>
  <c r="K26" i="16"/>
  <c r="L26" i="16" s="1"/>
  <c r="G25" i="16"/>
  <c r="H26" i="16"/>
  <c r="I26" i="16" s="1"/>
  <c r="K55" i="11"/>
  <c r="L55" i="11" s="1"/>
  <c r="H55" i="11"/>
  <c r="I55" i="11" s="1"/>
  <c r="G80" i="16" l="1"/>
  <c r="K25" i="16"/>
  <c r="L25" i="16" s="1"/>
  <c r="H25" i="16"/>
  <c r="I25" i="16" s="1"/>
  <c r="K80" i="16" l="1"/>
  <c r="L80" i="16" s="1"/>
  <c r="H80" i="16"/>
  <c r="I80" i="16" s="1"/>
  <c r="G181" i="2" l="1"/>
  <c r="G189" i="2"/>
  <c r="G187" i="2"/>
  <c r="G186" i="2"/>
  <c r="G142" i="2"/>
  <c r="G175" i="2"/>
  <c r="G18" i="2"/>
  <c r="G82" i="2"/>
  <c r="G116" i="2"/>
  <c r="G8" i="2"/>
  <c r="G14" i="2"/>
  <c r="G26" i="2"/>
  <c r="G33" i="2"/>
  <c r="G7" i="2"/>
  <c r="G6" i="2"/>
  <c r="G30" i="5"/>
  <c r="H57" i="5"/>
  <c r="I57" i="5" s="1"/>
  <c r="H63" i="5"/>
  <c r="I63" i="5" s="1"/>
  <c r="H92" i="5"/>
  <c r="I92" i="5" s="1"/>
  <c r="H95" i="5"/>
  <c r="I95" i="5" s="1"/>
  <c r="G111" i="5"/>
  <c r="G114" i="5"/>
  <c r="G117" i="5"/>
  <c r="G120" i="5"/>
  <c r="G123" i="5"/>
  <c r="G27" i="5"/>
  <c r="G5" i="5"/>
  <c r="G88" i="2"/>
  <c r="I53" i="2"/>
  <c r="I51" i="2"/>
  <c r="G37" i="2"/>
  <c r="G40" i="2"/>
  <c r="G36" i="2"/>
  <c r="G53" i="2"/>
  <c r="G51" i="2"/>
  <c r="G35" i="2"/>
  <c r="G61" i="2"/>
  <c r="G64" i="2"/>
  <c r="G60" i="2"/>
  <c r="G69" i="2"/>
  <c r="G75" i="2"/>
  <c r="G83" i="2"/>
  <c r="G91" i="2"/>
  <c r="G97" i="2"/>
  <c r="G67" i="2"/>
  <c r="G104" i="2"/>
  <c r="G109" i="2"/>
  <c r="G115" i="2"/>
  <c r="G121" i="2"/>
  <c r="G124" i="2"/>
  <c r="G114" i="2"/>
  <c r="G129" i="2"/>
  <c r="G103" i="2"/>
  <c r="G140" i="2"/>
  <c r="G139" i="2"/>
  <c r="G59" i="2"/>
  <c r="G34" i="2"/>
  <c r="G42" i="5"/>
  <c r="H42" i="5"/>
  <c r="I42" i="5"/>
  <c r="F114" i="5"/>
  <c r="F110" i="5" s="1"/>
  <c r="F107" i="5" s="1"/>
  <c r="F130" i="5" s="1"/>
  <c r="G40" i="5"/>
  <c r="G16" i="5"/>
  <c r="G8" i="5"/>
  <c r="F89" i="10"/>
  <c r="F88" i="10"/>
  <c r="F87" i="10"/>
  <c r="F86" i="10"/>
  <c r="F12" i="10"/>
  <c r="E12" i="10"/>
  <c r="F126" i="5"/>
  <c r="F101" i="5"/>
  <c r="F88" i="5" s="1"/>
  <c r="F85" i="5"/>
  <c r="F72" i="5" s="1"/>
  <c r="H72" i="5" s="1"/>
  <c r="I72" i="5" s="1"/>
  <c r="F56" i="5"/>
  <c r="F47" i="5"/>
  <c r="F42" i="5"/>
  <c r="F41" i="5"/>
  <c r="F40" i="5"/>
  <c r="F35" i="5"/>
  <c r="F34" i="5"/>
  <c r="F27" i="5"/>
  <c r="F15" i="5"/>
  <c r="F7" i="5"/>
  <c r="F6" i="5"/>
  <c r="F5" i="5"/>
  <c r="F45" i="5"/>
  <c r="E138" i="5"/>
  <c r="E126" i="5"/>
  <c r="E123" i="5"/>
  <c r="E120" i="5"/>
  <c r="E117" i="5"/>
  <c r="E114" i="5"/>
  <c r="E111" i="5"/>
  <c r="E98" i="5"/>
  <c r="K98" i="5" s="1"/>
  <c r="L98" i="5" s="1"/>
  <c r="E95" i="5"/>
  <c r="K95" i="5" s="1"/>
  <c r="L95" i="5" s="1"/>
  <c r="E92" i="5"/>
  <c r="K92" i="5" s="1"/>
  <c r="L92" i="5" s="1"/>
  <c r="E89" i="5"/>
  <c r="K89" i="5" s="1"/>
  <c r="L89" i="5" s="1"/>
  <c r="E85" i="5"/>
  <c r="K85" i="5" s="1"/>
  <c r="L85" i="5" s="1"/>
  <c r="E82" i="5"/>
  <c r="K82" i="5" s="1"/>
  <c r="L82" i="5" s="1"/>
  <c r="E79" i="5"/>
  <c r="K79" i="5" s="1"/>
  <c r="L79" i="5" s="1"/>
  <c r="E76" i="5"/>
  <c r="K76" i="5" s="1"/>
  <c r="L76" i="5" s="1"/>
  <c r="E73" i="5"/>
  <c r="K73" i="5" s="1"/>
  <c r="L73" i="5" s="1"/>
  <c r="E66" i="5"/>
  <c r="K66" i="5" s="1"/>
  <c r="L66" i="5" s="1"/>
  <c r="E63" i="5"/>
  <c r="K63" i="5" s="1"/>
  <c r="L63" i="5" s="1"/>
  <c r="E60" i="5"/>
  <c r="K60" i="5" s="1"/>
  <c r="L60" i="5" s="1"/>
  <c r="E57" i="5"/>
  <c r="K57" i="5" s="1"/>
  <c r="L57" i="5" s="1"/>
  <c r="E47" i="5"/>
  <c r="E42" i="5"/>
  <c r="E40" i="5"/>
  <c r="E39" i="5"/>
  <c r="E35" i="5"/>
  <c r="E34" i="5"/>
  <c r="E30" i="5"/>
  <c r="E28" i="5"/>
  <c r="E27" i="5"/>
  <c r="E24" i="5"/>
  <c r="E18" i="5"/>
  <c r="E15" i="5"/>
  <c r="E6" i="5"/>
  <c r="E5" i="5"/>
  <c r="E45" i="5"/>
  <c r="E12" i="5"/>
  <c r="E7" i="5"/>
  <c r="E189" i="2"/>
  <c r="E183" i="2"/>
  <c r="E181" i="2"/>
  <c r="E173" i="2"/>
  <c r="E165" i="2"/>
  <c r="E142" i="2"/>
  <c r="E140" i="2"/>
  <c r="E139" i="2"/>
  <c r="E129" i="2"/>
  <c r="E124" i="2"/>
  <c r="E121" i="2"/>
  <c r="E114" i="2"/>
  <c r="E115" i="2"/>
  <c r="E109" i="2"/>
  <c r="E104" i="2"/>
  <c r="E97" i="2"/>
  <c r="E91" i="2"/>
  <c r="E83" i="2"/>
  <c r="E82" i="2"/>
  <c r="E75" i="2"/>
  <c r="E69" i="2"/>
  <c r="E67" i="2"/>
  <c r="E64" i="2"/>
  <c r="E61" i="2"/>
  <c r="E60" i="2"/>
  <c r="E33" i="2"/>
  <c r="E25" i="2"/>
  <c r="E16" i="2"/>
  <c r="E4" i="2"/>
  <c r="E3" i="2"/>
  <c r="E13" i="2"/>
  <c r="E5" i="2"/>
  <c r="C114" i="5"/>
  <c r="G183" i="2"/>
  <c r="K86" i="10"/>
  <c r="E103" i="2"/>
  <c r="E182" i="2"/>
  <c r="E59" i="2"/>
  <c r="E34" i="2"/>
  <c r="E163" i="2"/>
  <c r="E191" i="2"/>
  <c r="E164" i="2"/>
  <c r="E172" i="2"/>
  <c r="E193" i="2"/>
  <c r="C84" i="14"/>
  <c r="C48" i="14"/>
  <c r="C105" i="14"/>
  <c r="C39" i="14"/>
  <c r="G173" i="2"/>
  <c r="K18" i="2"/>
  <c r="H140" i="5"/>
  <c r="I140" i="5" s="1"/>
  <c r="H139" i="5"/>
  <c r="I139" i="5" s="1"/>
  <c r="C138" i="5"/>
  <c r="H137" i="5"/>
  <c r="I137" i="5" s="1"/>
  <c r="H136" i="5"/>
  <c r="I136" i="5" s="1"/>
  <c r="H135" i="5"/>
  <c r="I135" i="5" s="1"/>
  <c r="H134" i="5"/>
  <c r="I134" i="5" s="1"/>
  <c r="H132" i="5"/>
  <c r="I132" i="5" s="1"/>
  <c r="H131" i="5"/>
  <c r="I131" i="5" s="1"/>
  <c r="H129" i="5"/>
  <c r="I129" i="5" s="1"/>
  <c r="H128" i="5"/>
  <c r="I128" i="5" s="1"/>
  <c r="H127" i="5"/>
  <c r="I127" i="5" s="1"/>
  <c r="H126" i="5"/>
  <c r="I126" i="5"/>
  <c r="G126" i="5"/>
  <c r="D126" i="5"/>
  <c r="C126" i="5"/>
  <c r="H125" i="5"/>
  <c r="I125" i="5" s="1"/>
  <c r="H124" i="5"/>
  <c r="I124" i="5" s="1"/>
  <c r="C123" i="5"/>
  <c r="H122" i="5"/>
  <c r="I122" i="5" s="1"/>
  <c r="H121" i="5"/>
  <c r="I121" i="5" s="1"/>
  <c r="C120" i="5"/>
  <c r="H119" i="5"/>
  <c r="I119" i="5" s="1"/>
  <c r="H118" i="5"/>
  <c r="I118" i="5" s="1"/>
  <c r="C117" i="5"/>
  <c r="H116" i="5"/>
  <c r="I116" i="5" s="1"/>
  <c r="H115" i="5"/>
  <c r="I115" i="5" s="1"/>
  <c r="D114" i="5"/>
  <c r="D110" i="5" s="1"/>
  <c r="D107" i="5" s="1"/>
  <c r="D130" i="5" s="1"/>
  <c r="H113" i="5"/>
  <c r="I113" i="5" s="1"/>
  <c r="I112" i="5"/>
  <c r="C111" i="5"/>
  <c r="H109" i="5"/>
  <c r="I109" i="5"/>
  <c r="H108" i="5"/>
  <c r="I108" i="5"/>
  <c r="I106" i="5"/>
  <c r="H104" i="5"/>
  <c r="I104" i="5" s="1"/>
  <c r="H103" i="5"/>
  <c r="I103" i="5" s="1"/>
  <c r="H102" i="5"/>
  <c r="I102" i="5"/>
  <c r="D101" i="5"/>
  <c r="D88" i="5" s="1"/>
  <c r="H100" i="5"/>
  <c r="I100" i="5" s="1"/>
  <c r="H99" i="5"/>
  <c r="I99" i="5" s="1"/>
  <c r="H98" i="5"/>
  <c r="I98" i="5" s="1"/>
  <c r="C98" i="5"/>
  <c r="H97" i="5"/>
  <c r="I97" i="5" s="1"/>
  <c r="H96" i="5"/>
  <c r="I96" i="5" s="1"/>
  <c r="C95" i="5"/>
  <c r="H94" i="5"/>
  <c r="I94" i="5" s="1"/>
  <c r="H93" i="5"/>
  <c r="I93" i="5" s="1"/>
  <c r="C92" i="5"/>
  <c r="H91" i="5"/>
  <c r="I91" i="5" s="1"/>
  <c r="H90" i="5"/>
  <c r="I90" i="5" s="1"/>
  <c r="C89" i="5"/>
  <c r="H87" i="5"/>
  <c r="I87" i="5" s="1"/>
  <c r="H86" i="5"/>
  <c r="I86" i="5" s="1"/>
  <c r="D85" i="5"/>
  <c r="D72" i="5" s="1"/>
  <c r="C85" i="5"/>
  <c r="H84" i="5"/>
  <c r="I84" i="5" s="1"/>
  <c r="H83" i="5"/>
  <c r="I83" i="5" s="1"/>
  <c r="H82" i="5"/>
  <c r="I82" i="5" s="1"/>
  <c r="C82" i="5"/>
  <c r="H81" i="5"/>
  <c r="I81" i="5" s="1"/>
  <c r="H80" i="5"/>
  <c r="I80" i="5" s="1"/>
  <c r="H79" i="5"/>
  <c r="I79" i="5" s="1"/>
  <c r="C79" i="5"/>
  <c r="H78" i="5"/>
  <c r="I78" i="5" s="1"/>
  <c r="H77" i="5"/>
  <c r="I77" i="5" s="1"/>
  <c r="H76" i="5"/>
  <c r="I76" i="5" s="1"/>
  <c r="C76" i="5"/>
  <c r="H75" i="5"/>
  <c r="I75" i="5" s="1"/>
  <c r="H74" i="5"/>
  <c r="I74" i="5" s="1"/>
  <c r="C73" i="5"/>
  <c r="H71" i="5"/>
  <c r="I71" i="5" s="1"/>
  <c r="H70" i="5"/>
  <c r="I70" i="5" s="1"/>
  <c r="H69" i="5"/>
  <c r="I69" i="5" s="1"/>
  <c r="H68" i="5"/>
  <c r="I68" i="5" s="1"/>
  <c r="H67" i="5"/>
  <c r="I67" i="5" s="1"/>
  <c r="C66" i="5"/>
  <c r="H65" i="5"/>
  <c r="I65" i="5" s="1"/>
  <c r="I64" i="5"/>
  <c r="C63" i="5"/>
  <c r="H62" i="5"/>
  <c r="I62" i="5" s="1"/>
  <c r="H61" i="5"/>
  <c r="I61" i="5"/>
  <c r="C60" i="5"/>
  <c r="H59" i="5"/>
  <c r="I59" i="5"/>
  <c r="H58" i="5"/>
  <c r="I58" i="5" s="1"/>
  <c r="C57" i="5"/>
  <c r="D56" i="5"/>
  <c r="H54" i="5"/>
  <c r="I54" i="5" s="1"/>
  <c r="K52" i="5"/>
  <c r="L52" i="5"/>
  <c r="H52" i="5"/>
  <c r="I52" i="5"/>
  <c r="K51" i="5"/>
  <c r="L51" i="5"/>
  <c r="H51" i="5"/>
  <c r="I51" i="5"/>
  <c r="K50" i="5"/>
  <c r="L50" i="5"/>
  <c r="H50" i="5"/>
  <c r="I50" i="5"/>
  <c r="K49" i="5"/>
  <c r="L49" i="5"/>
  <c r="H49" i="5"/>
  <c r="I49" i="5"/>
  <c r="K48" i="5"/>
  <c r="L48" i="5"/>
  <c r="H48" i="5"/>
  <c r="I48" i="5"/>
  <c r="G47" i="5"/>
  <c r="D47" i="5"/>
  <c r="C47" i="5"/>
  <c r="K46" i="5"/>
  <c r="L46" i="5"/>
  <c r="I46" i="5"/>
  <c r="K44" i="5"/>
  <c r="L44" i="5"/>
  <c r="H44" i="5"/>
  <c r="I44" i="5"/>
  <c r="K43" i="5"/>
  <c r="L43" i="5"/>
  <c r="H43" i="5"/>
  <c r="I43" i="5"/>
  <c r="D42" i="5"/>
  <c r="C42" i="5"/>
  <c r="K41" i="5"/>
  <c r="L41" i="5"/>
  <c r="H41" i="5"/>
  <c r="I41" i="5"/>
  <c r="D41" i="5"/>
  <c r="D40" i="5"/>
  <c r="H40" i="5"/>
  <c r="I40" i="5"/>
  <c r="K40" i="5"/>
  <c r="L40" i="5"/>
  <c r="C40" i="5"/>
  <c r="C35" i="5"/>
  <c r="C34" i="5"/>
  <c r="K39" i="5"/>
  <c r="L39" i="5" s="1"/>
  <c r="H39" i="5"/>
  <c r="I39" i="5"/>
  <c r="C39" i="5"/>
  <c r="K38" i="5"/>
  <c r="L38" i="5"/>
  <c r="H38" i="5"/>
  <c r="I38" i="5"/>
  <c r="K37" i="5"/>
  <c r="L37" i="5"/>
  <c r="H37" i="5"/>
  <c r="I37" i="5"/>
  <c r="K36" i="5"/>
  <c r="L36" i="5"/>
  <c r="H36" i="5"/>
  <c r="I36" i="5"/>
  <c r="G35" i="5"/>
  <c r="G34" i="5" s="1"/>
  <c r="D35" i="5"/>
  <c r="D34" i="5"/>
  <c r="K33" i="5"/>
  <c r="L33" i="5"/>
  <c r="H33" i="5"/>
  <c r="I33" i="5"/>
  <c r="K32" i="5"/>
  <c r="L32" i="5"/>
  <c r="H32" i="5"/>
  <c r="I32" i="5"/>
  <c r="K31" i="5"/>
  <c r="L31" i="5"/>
  <c r="H31" i="5"/>
  <c r="I31" i="5"/>
  <c r="C30" i="5"/>
  <c r="K29" i="5"/>
  <c r="L29" i="5"/>
  <c r="H29" i="5"/>
  <c r="I29" i="5"/>
  <c r="K28" i="5"/>
  <c r="L28" i="5"/>
  <c r="H28" i="5"/>
  <c r="I28" i="5"/>
  <c r="C28" i="5"/>
  <c r="C27" i="5"/>
  <c r="K27" i="5"/>
  <c r="L27" i="5"/>
  <c r="D27" i="5"/>
  <c r="D5" i="5"/>
  <c r="D45" i="5"/>
  <c r="K26" i="5"/>
  <c r="L26" i="5"/>
  <c r="H26" i="5"/>
  <c r="I26" i="5"/>
  <c r="K25" i="5"/>
  <c r="L25" i="5"/>
  <c r="H25" i="5"/>
  <c r="I25" i="5"/>
  <c r="G24" i="5"/>
  <c r="H24" i="5"/>
  <c r="I24" i="5"/>
  <c r="C24" i="5"/>
  <c r="C5" i="5"/>
  <c r="C45" i="5"/>
  <c r="K23" i="5"/>
  <c r="L23" i="5"/>
  <c r="H23" i="5"/>
  <c r="I23" i="5"/>
  <c r="K22" i="5"/>
  <c r="L22" i="5"/>
  <c r="H22" i="5"/>
  <c r="I22" i="5"/>
  <c r="K21" i="5"/>
  <c r="L21" i="5"/>
  <c r="H21" i="5"/>
  <c r="I21" i="5"/>
  <c r="K20" i="5"/>
  <c r="L20" i="5"/>
  <c r="H20" i="5"/>
  <c r="I20" i="5"/>
  <c r="K19" i="5"/>
  <c r="L19" i="5"/>
  <c r="H19" i="5"/>
  <c r="I19" i="5"/>
  <c r="H18" i="5"/>
  <c r="I18" i="5"/>
  <c r="G18" i="5"/>
  <c r="K18" i="5"/>
  <c r="L18" i="5"/>
  <c r="C18" i="5"/>
  <c r="K17" i="5"/>
  <c r="L17" i="5"/>
  <c r="I17" i="5"/>
  <c r="H17" i="5"/>
  <c r="K16" i="5"/>
  <c r="L16" i="5"/>
  <c r="D15" i="5"/>
  <c r="C15" i="5"/>
  <c r="K14" i="5"/>
  <c r="L14" i="5"/>
  <c r="H14" i="5"/>
  <c r="I14" i="5"/>
  <c r="K13" i="5"/>
  <c r="L13" i="5"/>
  <c r="H13" i="5"/>
  <c r="I13" i="5"/>
  <c r="H12" i="5"/>
  <c r="I12" i="5"/>
  <c r="G12" i="5"/>
  <c r="K12" i="5"/>
  <c r="L12" i="5"/>
  <c r="C12" i="5"/>
  <c r="K11" i="5"/>
  <c r="L11" i="5"/>
  <c r="H11" i="5"/>
  <c r="I11" i="5"/>
  <c r="H10" i="5"/>
  <c r="I10" i="5"/>
  <c r="K9" i="5"/>
  <c r="L9" i="5"/>
  <c r="H9" i="5"/>
  <c r="I9" i="5"/>
  <c r="K8" i="5"/>
  <c r="L8" i="5"/>
  <c r="H8" i="5"/>
  <c r="I8" i="5"/>
  <c r="D7" i="5"/>
  <c r="C7" i="5"/>
  <c r="D6" i="5"/>
  <c r="C6" i="5"/>
  <c r="K3" i="5"/>
  <c r="L3" i="5"/>
  <c r="H3" i="5"/>
  <c r="I3" i="5"/>
  <c r="C112" i="14"/>
  <c r="C96" i="14"/>
  <c r="C79" i="14"/>
  <c r="C69" i="14"/>
  <c r="C65" i="14"/>
  <c r="C57" i="14"/>
  <c r="C26" i="14"/>
  <c r="C17" i="14"/>
  <c r="H85" i="5"/>
  <c r="I85" i="5" s="1"/>
  <c r="G7" i="5"/>
  <c r="K10" i="5"/>
  <c r="L10" i="5"/>
  <c r="H16" i="5"/>
  <c r="I16" i="5"/>
  <c r="K24" i="5"/>
  <c r="L24" i="5"/>
  <c r="H30" i="5"/>
  <c r="I30" i="5"/>
  <c r="K30" i="5"/>
  <c r="L30" i="5"/>
  <c r="G15" i="5"/>
  <c r="K42" i="5"/>
  <c r="L42" i="5"/>
  <c r="H27" i="5"/>
  <c r="I27" i="5"/>
  <c r="H47" i="5"/>
  <c r="I47" i="5"/>
  <c r="K47" i="5"/>
  <c r="L47" i="5"/>
  <c r="H15" i="5"/>
  <c r="I15" i="5"/>
  <c r="K15" i="5"/>
  <c r="L15" i="5"/>
  <c r="H7" i="5"/>
  <c r="I7" i="5"/>
  <c r="G6" i="5"/>
  <c r="K7" i="5"/>
  <c r="L7" i="5"/>
  <c r="H6" i="5"/>
  <c r="I6" i="5"/>
  <c r="K6" i="5"/>
  <c r="L6" i="5"/>
  <c r="H5" i="5"/>
  <c r="I5" i="5"/>
  <c r="K5" i="5"/>
  <c r="L5" i="5"/>
  <c r="K32" i="2"/>
  <c r="G165" i="2"/>
  <c r="K104" i="2"/>
  <c r="G25" i="2"/>
  <c r="G16" i="2"/>
  <c r="G13" i="2"/>
  <c r="G5" i="2"/>
  <c r="K7" i="2"/>
  <c r="G4" i="2"/>
  <c r="G3" i="2"/>
  <c r="G182" i="2"/>
  <c r="G163" i="2"/>
  <c r="G191" i="2"/>
  <c r="G164" i="2"/>
  <c r="G172" i="2"/>
  <c r="G193" i="2"/>
  <c r="C189" i="2"/>
  <c r="H165" i="2"/>
  <c r="I165" i="2"/>
  <c r="K16" i="2"/>
  <c r="L16" i="2"/>
  <c r="L104" i="2"/>
  <c r="K109" i="2"/>
  <c r="L109" i="2"/>
  <c r="K121" i="2"/>
  <c r="L121" i="2"/>
  <c r="K124" i="2"/>
  <c r="L124" i="2"/>
  <c r="K183" i="2"/>
  <c r="L183" i="2"/>
  <c r="H183" i="2"/>
  <c r="I183" i="2"/>
  <c r="H115" i="2"/>
  <c r="I115" i="2"/>
  <c r="K61" i="2"/>
  <c r="L61" i="2"/>
  <c r="H69" i="2"/>
  <c r="I69" i="2"/>
  <c r="H13" i="2"/>
  <c r="I13" i="2"/>
  <c r="C61" i="2"/>
  <c r="C64" i="2"/>
  <c r="C69" i="2"/>
  <c r="C82" i="2"/>
  <c r="C75" i="2"/>
  <c r="C83" i="2"/>
  <c r="C91" i="2"/>
  <c r="C97" i="2"/>
  <c r="C104" i="2"/>
  <c r="C109" i="2"/>
  <c r="C115" i="2"/>
  <c r="C121" i="2"/>
  <c r="C124" i="2"/>
  <c r="C129" i="2"/>
  <c r="C142" i="2"/>
  <c r="C140" i="2"/>
  <c r="C139" i="2"/>
  <c r="C165" i="2"/>
  <c r="C183" i="2"/>
  <c r="C181" i="2"/>
  <c r="C16" i="2"/>
  <c r="C5" i="2"/>
  <c r="C13" i="2"/>
  <c r="C25" i="2"/>
  <c r="C33" i="2"/>
  <c r="C173" i="2"/>
  <c r="K14" i="2"/>
  <c r="L14" i="2"/>
  <c r="H14" i="2"/>
  <c r="I14" i="2"/>
  <c r="K87" i="10"/>
  <c r="L87" i="10"/>
  <c r="H5" i="10"/>
  <c r="I5" i="10"/>
  <c r="D89" i="10"/>
  <c r="D88" i="10"/>
  <c r="D87" i="10"/>
  <c r="D86" i="10"/>
  <c r="D12" i="10"/>
  <c r="C12" i="10"/>
  <c r="H173" i="2"/>
  <c r="I173" i="2"/>
  <c r="K88" i="10"/>
  <c r="L88" i="10"/>
  <c r="H88" i="10"/>
  <c r="I88" i="10"/>
  <c r="H6" i="2"/>
  <c r="I6" i="2"/>
  <c r="K18" i="10"/>
  <c r="L18" i="10"/>
  <c r="L86" i="10"/>
  <c r="K192" i="2"/>
  <c r="L192" i="2"/>
  <c r="H192" i="2"/>
  <c r="I192" i="2"/>
  <c r="K190" i="2"/>
  <c r="L190" i="2"/>
  <c r="H190" i="2"/>
  <c r="I190" i="2"/>
  <c r="K189" i="2"/>
  <c r="L189" i="2"/>
  <c r="H189" i="2"/>
  <c r="I189" i="2"/>
  <c r="K188" i="2"/>
  <c r="L188" i="2"/>
  <c r="H188" i="2"/>
  <c r="I188" i="2"/>
  <c r="K187" i="2"/>
  <c r="L187" i="2"/>
  <c r="H187" i="2"/>
  <c r="I187" i="2"/>
  <c r="K186" i="2"/>
  <c r="L186" i="2"/>
  <c r="H186" i="2"/>
  <c r="I186" i="2"/>
  <c r="K185" i="2"/>
  <c r="L185" i="2"/>
  <c r="H185" i="2"/>
  <c r="I185" i="2"/>
  <c r="K184" i="2"/>
  <c r="L184" i="2"/>
  <c r="H184" i="2"/>
  <c r="I184" i="2"/>
  <c r="K181" i="2"/>
  <c r="L181" i="2"/>
  <c r="H181" i="2"/>
  <c r="I181" i="2"/>
  <c r="K180" i="2"/>
  <c r="L180" i="2"/>
  <c r="H180" i="2"/>
  <c r="I180" i="2"/>
  <c r="K179" i="2"/>
  <c r="L179" i="2"/>
  <c r="H179" i="2"/>
  <c r="I179" i="2"/>
  <c r="K178" i="2"/>
  <c r="L178" i="2"/>
  <c r="H178" i="2"/>
  <c r="I178" i="2"/>
  <c r="K177" i="2"/>
  <c r="L177" i="2"/>
  <c r="H177" i="2"/>
  <c r="I177" i="2"/>
  <c r="K176" i="2"/>
  <c r="L176" i="2"/>
  <c r="H176" i="2"/>
  <c r="I176" i="2"/>
  <c r="K175" i="2"/>
  <c r="L175" i="2"/>
  <c r="H175" i="2"/>
  <c r="I175" i="2"/>
  <c r="K174" i="2"/>
  <c r="L174" i="2"/>
  <c r="H174" i="2"/>
  <c r="I174" i="2"/>
  <c r="K171" i="2"/>
  <c r="L171" i="2"/>
  <c r="H171" i="2"/>
  <c r="I171" i="2"/>
  <c r="K170" i="2"/>
  <c r="L170" i="2"/>
  <c r="H170" i="2"/>
  <c r="I170" i="2"/>
  <c r="K169" i="2"/>
  <c r="L169" i="2"/>
  <c r="H169" i="2"/>
  <c r="I169" i="2"/>
  <c r="K168" i="2"/>
  <c r="L168" i="2"/>
  <c r="H168" i="2"/>
  <c r="I168" i="2"/>
  <c r="K167" i="2"/>
  <c r="L167" i="2"/>
  <c r="H167" i="2"/>
  <c r="I167" i="2"/>
  <c r="K166" i="2"/>
  <c r="L166" i="2"/>
  <c r="H166" i="2"/>
  <c r="I166" i="2"/>
  <c r="K162" i="2"/>
  <c r="L162" i="2"/>
  <c r="H162" i="2"/>
  <c r="I162" i="2"/>
  <c r="K161" i="2"/>
  <c r="L161" i="2"/>
  <c r="H161" i="2"/>
  <c r="I161" i="2"/>
  <c r="K160" i="2"/>
  <c r="L160" i="2"/>
  <c r="H160" i="2"/>
  <c r="I160" i="2"/>
  <c r="K159" i="2"/>
  <c r="L159" i="2"/>
  <c r="H159" i="2"/>
  <c r="I159" i="2"/>
  <c r="K158" i="2"/>
  <c r="L158" i="2"/>
  <c r="H158" i="2"/>
  <c r="I158" i="2"/>
  <c r="K157" i="2"/>
  <c r="L157" i="2"/>
  <c r="H157" i="2"/>
  <c r="I157" i="2"/>
  <c r="K156" i="2"/>
  <c r="L156" i="2"/>
  <c r="H156" i="2"/>
  <c r="I156" i="2"/>
  <c r="K155" i="2"/>
  <c r="L155" i="2"/>
  <c r="H155" i="2"/>
  <c r="I155" i="2"/>
  <c r="K154" i="2"/>
  <c r="L154" i="2"/>
  <c r="H154" i="2"/>
  <c r="I154" i="2"/>
  <c r="K153" i="2"/>
  <c r="L153" i="2"/>
  <c r="H153" i="2"/>
  <c r="I153" i="2"/>
  <c r="K152" i="2"/>
  <c r="L152" i="2"/>
  <c r="H152" i="2"/>
  <c r="I152" i="2"/>
  <c r="K151" i="2"/>
  <c r="L151" i="2"/>
  <c r="H151" i="2"/>
  <c r="I151" i="2"/>
  <c r="K150" i="2"/>
  <c r="L150" i="2"/>
  <c r="H150" i="2"/>
  <c r="I150" i="2"/>
  <c r="K149" i="2"/>
  <c r="L149" i="2"/>
  <c r="H149" i="2"/>
  <c r="I149" i="2"/>
  <c r="K148" i="2"/>
  <c r="L148" i="2"/>
  <c r="H148" i="2"/>
  <c r="I148" i="2"/>
  <c r="K147" i="2"/>
  <c r="L147" i="2"/>
  <c r="H147" i="2"/>
  <c r="I147" i="2"/>
  <c r="K146" i="2"/>
  <c r="L146" i="2"/>
  <c r="H146" i="2"/>
  <c r="I146" i="2"/>
  <c r="K145" i="2"/>
  <c r="L145" i="2"/>
  <c r="H145" i="2"/>
  <c r="I145" i="2"/>
  <c r="K144" i="2"/>
  <c r="L144" i="2"/>
  <c r="H144" i="2"/>
  <c r="I144" i="2"/>
  <c r="K143" i="2"/>
  <c r="L143" i="2"/>
  <c r="H143" i="2"/>
  <c r="I143" i="2"/>
  <c r="K141" i="2"/>
  <c r="L141" i="2"/>
  <c r="H141" i="2"/>
  <c r="I141" i="2"/>
  <c r="K138" i="2"/>
  <c r="L138" i="2"/>
  <c r="H138" i="2"/>
  <c r="I138" i="2"/>
  <c r="K137" i="2"/>
  <c r="L137" i="2"/>
  <c r="H137" i="2"/>
  <c r="I137" i="2"/>
  <c r="K136" i="2"/>
  <c r="L136" i="2"/>
  <c r="H136" i="2"/>
  <c r="I136" i="2"/>
  <c r="K135" i="2"/>
  <c r="L135" i="2"/>
  <c r="H135" i="2"/>
  <c r="I135" i="2"/>
  <c r="K134" i="2"/>
  <c r="L134" i="2"/>
  <c r="H134" i="2"/>
  <c r="I134" i="2"/>
  <c r="K133" i="2"/>
  <c r="L133" i="2"/>
  <c r="H133" i="2"/>
  <c r="I133" i="2"/>
  <c r="K132" i="2"/>
  <c r="L132" i="2"/>
  <c r="H132" i="2"/>
  <c r="I132" i="2"/>
  <c r="K131" i="2"/>
  <c r="L131" i="2"/>
  <c r="H131" i="2"/>
  <c r="I131" i="2"/>
  <c r="K130" i="2"/>
  <c r="L130" i="2"/>
  <c r="H130" i="2"/>
  <c r="I130" i="2"/>
  <c r="K128" i="2"/>
  <c r="L128" i="2"/>
  <c r="H128" i="2"/>
  <c r="I128" i="2"/>
  <c r="K127" i="2"/>
  <c r="L127" i="2"/>
  <c r="H127" i="2"/>
  <c r="I127" i="2"/>
  <c r="K126" i="2"/>
  <c r="L126" i="2"/>
  <c r="H126" i="2"/>
  <c r="I126" i="2"/>
  <c r="K125" i="2"/>
  <c r="L125" i="2"/>
  <c r="H125" i="2"/>
  <c r="I125" i="2"/>
  <c r="K123" i="2"/>
  <c r="L123" i="2"/>
  <c r="H123" i="2"/>
  <c r="I123" i="2"/>
  <c r="K122" i="2"/>
  <c r="L122" i="2"/>
  <c r="H122" i="2"/>
  <c r="I122" i="2"/>
  <c r="K120" i="2"/>
  <c r="L120" i="2"/>
  <c r="H120" i="2"/>
  <c r="I120" i="2"/>
  <c r="K119" i="2"/>
  <c r="L119" i="2"/>
  <c r="H119" i="2"/>
  <c r="I119" i="2"/>
  <c r="K118" i="2"/>
  <c r="L118" i="2"/>
  <c r="H118" i="2"/>
  <c r="I118" i="2"/>
  <c r="K117" i="2"/>
  <c r="L117" i="2"/>
  <c r="H117" i="2"/>
  <c r="I117" i="2"/>
  <c r="K116" i="2"/>
  <c r="L116" i="2"/>
  <c r="H116" i="2"/>
  <c r="I116" i="2"/>
  <c r="K113" i="2"/>
  <c r="L113" i="2"/>
  <c r="H113" i="2"/>
  <c r="I113" i="2"/>
  <c r="K112" i="2"/>
  <c r="L112" i="2"/>
  <c r="H112" i="2"/>
  <c r="I112" i="2"/>
  <c r="K111" i="2"/>
  <c r="L111" i="2"/>
  <c r="H111" i="2"/>
  <c r="I111" i="2"/>
  <c r="K110" i="2"/>
  <c r="L110" i="2"/>
  <c r="H110" i="2"/>
  <c r="I110" i="2"/>
  <c r="H109" i="2"/>
  <c r="I109" i="2"/>
  <c r="K108" i="2"/>
  <c r="L108" i="2"/>
  <c r="H108" i="2"/>
  <c r="I108" i="2"/>
  <c r="K107" i="2"/>
  <c r="L107" i="2"/>
  <c r="H107" i="2"/>
  <c r="I107" i="2"/>
  <c r="K106" i="2"/>
  <c r="L106" i="2"/>
  <c r="H106" i="2"/>
  <c r="I106" i="2"/>
  <c r="K105" i="2"/>
  <c r="L105" i="2"/>
  <c r="H105" i="2"/>
  <c r="I105" i="2"/>
  <c r="K102" i="2"/>
  <c r="L102" i="2"/>
  <c r="H102" i="2"/>
  <c r="I102" i="2"/>
  <c r="H101" i="2"/>
  <c r="I101" i="2"/>
  <c r="K100" i="2"/>
  <c r="L100" i="2"/>
  <c r="H100" i="2"/>
  <c r="I100" i="2"/>
  <c r="K99" i="2"/>
  <c r="L99" i="2"/>
  <c r="H99" i="2"/>
  <c r="I99" i="2"/>
  <c r="K98" i="2"/>
  <c r="L98" i="2"/>
  <c r="H98" i="2"/>
  <c r="I98" i="2"/>
  <c r="H96" i="2"/>
  <c r="I96" i="2"/>
  <c r="K96" i="2"/>
  <c r="L96" i="2"/>
  <c r="H95" i="2"/>
  <c r="I95" i="2"/>
  <c r="K95" i="2"/>
  <c r="L95" i="2"/>
  <c r="K94" i="2"/>
  <c r="L94" i="2"/>
  <c r="H94" i="2"/>
  <c r="I94" i="2"/>
  <c r="K93" i="2"/>
  <c r="L93" i="2"/>
  <c r="H93" i="2"/>
  <c r="I93" i="2"/>
  <c r="K92" i="2"/>
  <c r="L92" i="2"/>
  <c r="H92" i="2"/>
  <c r="I92" i="2"/>
  <c r="H91" i="2"/>
  <c r="I91" i="2"/>
  <c r="K90" i="2"/>
  <c r="L90" i="2"/>
  <c r="H90" i="2"/>
  <c r="I90" i="2"/>
  <c r="H89" i="2"/>
  <c r="I89" i="2"/>
  <c r="K89" i="2"/>
  <c r="L89" i="2"/>
  <c r="H88" i="2"/>
  <c r="I88" i="2"/>
  <c r="K88" i="2"/>
  <c r="L88" i="2"/>
  <c r="H87" i="2"/>
  <c r="I87" i="2"/>
  <c r="K87" i="2"/>
  <c r="L87" i="2"/>
  <c r="K86" i="2"/>
  <c r="L86" i="2"/>
  <c r="H86" i="2"/>
  <c r="I86" i="2"/>
  <c r="K85" i="2"/>
  <c r="L85" i="2"/>
  <c r="H85" i="2"/>
  <c r="I85" i="2"/>
  <c r="K84" i="2"/>
  <c r="L84" i="2"/>
  <c r="H84" i="2"/>
  <c r="I84" i="2"/>
  <c r="K82" i="2"/>
  <c r="L82" i="2"/>
  <c r="H82" i="2"/>
  <c r="I82" i="2"/>
  <c r="K81" i="2"/>
  <c r="L81" i="2"/>
  <c r="H81" i="2"/>
  <c r="I81" i="2"/>
  <c r="H80" i="2"/>
  <c r="I80" i="2"/>
  <c r="K79" i="2"/>
  <c r="L79" i="2"/>
  <c r="H79" i="2"/>
  <c r="I79" i="2"/>
  <c r="K78" i="2"/>
  <c r="L78" i="2"/>
  <c r="H78" i="2"/>
  <c r="I78" i="2"/>
  <c r="K77" i="2"/>
  <c r="L77" i="2"/>
  <c r="H77" i="2"/>
  <c r="I77" i="2"/>
  <c r="K76" i="2"/>
  <c r="L76" i="2"/>
  <c r="H76" i="2"/>
  <c r="I76" i="2"/>
  <c r="K74" i="2"/>
  <c r="L74" i="2"/>
  <c r="H74" i="2"/>
  <c r="I74" i="2"/>
  <c r="K73" i="2"/>
  <c r="L73" i="2"/>
  <c r="H73" i="2"/>
  <c r="I73" i="2"/>
  <c r="K72" i="2"/>
  <c r="L72" i="2"/>
  <c r="H72" i="2"/>
  <c r="I72" i="2"/>
  <c r="K71" i="2"/>
  <c r="L71" i="2"/>
  <c r="H71" i="2"/>
  <c r="I71" i="2"/>
  <c r="K70" i="2"/>
  <c r="L70" i="2"/>
  <c r="H70" i="2"/>
  <c r="I70" i="2"/>
  <c r="K68" i="2"/>
  <c r="L68" i="2"/>
  <c r="K66" i="2"/>
  <c r="L66" i="2"/>
  <c r="H66" i="2"/>
  <c r="I66" i="2"/>
  <c r="K65" i="2"/>
  <c r="L65" i="2"/>
  <c r="H65" i="2"/>
  <c r="I65" i="2"/>
  <c r="K63" i="2"/>
  <c r="L63" i="2"/>
  <c r="H63" i="2"/>
  <c r="I63" i="2"/>
  <c r="K62" i="2"/>
  <c r="L62" i="2"/>
  <c r="H62" i="2"/>
  <c r="I62" i="2"/>
  <c r="H61" i="2"/>
  <c r="I61" i="2"/>
  <c r="K58" i="2"/>
  <c r="L58" i="2"/>
  <c r="H58" i="2"/>
  <c r="I58" i="2"/>
  <c r="K57" i="2"/>
  <c r="L57" i="2"/>
  <c r="H57" i="2"/>
  <c r="I57" i="2"/>
  <c r="K56" i="2"/>
  <c r="L56" i="2"/>
  <c r="H56" i="2"/>
  <c r="I56" i="2"/>
  <c r="K55" i="2"/>
  <c r="L55" i="2"/>
  <c r="H55" i="2"/>
  <c r="I55" i="2"/>
  <c r="K54" i="2"/>
  <c r="L54" i="2"/>
  <c r="H54" i="2"/>
  <c r="I54" i="2"/>
  <c r="K52" i="2"/>
  <c r="L52" i="2"/>
  <c r="H52" i="2"/>
  <c r="I52" i="2"/>
  <c r="K50" i="2"/>
  <c r="L50" i="2"/>
  <c r="H50" i="2"/>
  <c r="I50" i="2"/>
  <c r="K49" i="2"/>
  <c r="L49" i="2"/>
  <c r="H49" i="2"/>
  <c r="I49" i="2"/>
  <c r="K48" i="2"/>
  <c r="L48" i="2"/>
  <c r="H48" i="2"/>
  <c r="I48" i="2"/>
  <c r="K47" i="2"/>
  <c r="L47" i="2"/>
  <c r="H47" i="2"/>
  <c r="I47" i="2"/>
  <c r="K46" i="2"/>
  <c r="L46" i="2"/>
  <c r="H46" i="2"/>
  <c r="I46" i="2"/>
  <c r="K45" i="2"/>
  <c r="L45" i="2"/>
  <c r="H45" i="2"/>
  <c r="I45" i="2"/>
  <c r="K44" i="2"/>
  <c r="L44" i="2"/>
  <c r="H44" i="2"/>
  <c r="I44" i="2"/>
  <c r="K43" i="2"/>
  <c r="L43" i="2"/>
  <c r="H43" i="2"/>
  <c r="I43" i="2"/>
  <c r="K42" i="2"/>
  <c r="L42" i="2"/>
  <c r="H42" i="2"/>
  <c r="I42" i="2"/>
  <c r="K41" i="2"/>
  <c r="L41" i="2"/>
  <c r="H41" i="2"/>
  <c r="I41" i="2"/>
  <c r="H39" i="2"/>
  <c r="I39" i="2"/>
  <c r="K38" i="2"/>
  <c r="L38" i="2"/>
  <c r="H38" i="2"/>
  <c r="I38" i="2"/>
  <c r="H37" i="2"/>
  <c r="I37" i="2"/>
  <c r="H33" i="2"/>
  <c r="I33" i="2"/>
  <c r="K33" i="2"/>
  <c r="L33" i="2"/>
  <c r="L32" i="2"/>
  <c r="H32" i="2"/>
  <c r="I32" i="2"/>
  <c r="K31" i="2"/>
  <c r="L31" i="2"/>
  <c r="H31" i="2"/>
  <c r="I31" i="2"/>
  <c r="K30" i="2"/>
  <c r="L30" i="2"/>
  <c r="H30" i="2"/>
  <c r="I30" i="2"/>
  <c r="K29" i="2"/>
  <c r="L29" i="2"/>
  <c r="H29" i="2"/>
  <c r="I29" i="2"/>
  <c r="H28" i="2"/>
  <c r="I28" i="2"/>
  <c r="K28" i="2"/>
  <c r="L28" i="2"/>
  <c r="K27" i="2"/>
  <c r="L27" i="2"/>
  <c r="H27" i="2"/>
  <c r="I27" i="2"/>
  <c r="H26" i="2"/>
  <c r="I26" i="2"/>
  <c r="H25" i="2"/>
  <c r="I25" i="2"/>
  <c r="K24" i="2"/>
  <c r="L24" i="2"/>
  <c r="H24" i="2"/>
  <c r="I24" i="2"/>
  <c r="K23" i="2"/>
  <c r="L23" i="2"/>
  <c r="H23" i="2"/>
  <c r="I23" i="2"/>
  <c r="K22" i="2"/>
  <c r="L22" i="2"/>
  <c r="H22" i="2"/>
  <c r="I22" i="2"/>
  <c r="K21" i="2"/>
  <c r="L21" i="2"/>
  <c r="H21" i="2"/>
  <c r="I21" i="2"/>
  <c r="K20" i="2"/>
  <c r="L20" i="2"/>
  <c r="H20" i="2"/>
  <c r="I20" i="2"/>
  <c r="K19" i="2"/>
  <c r="L19" i="2"/>
  <c r="H19" i="2"/>
  <c r="I19" i="2"/>
  <c r="L18" i="2"/>
  <c r="H18" i="2"/>
  <c r="I18" i="2"/>
  <c r="K17" i="2"/>
  <c r="L17" i="2"/>
  <c r="H17" i="2"/>
  <c r="I17" i="2"/>
  <c r="H16" i="2"/>
  <c r="I16" i="2"/>
  <c r="K15" i="2"/>
  <c r="L15" i="2"/>
  <c r="H15" i="2"/>
  <c r="I15" i="2"/>
  <c r="K12" i="2"/>
  <c r="L12" i="2"/>
  <c r="H12" i="2"/>
  <c r="I12" i="2"/>
  <c r="K11" i="2"/>
  <c r="L11" i="2"/>
  <c r="H11" i="2"/>
  <c r="I11" i="2"/>
  <c r="K10" i="2"/>
  <c r="L10" i="2"/>
  <c r="H10" i="2"/>
  <c r="I10" i="2"/>
  <c r="K9" i="2"/>
  <c r="L9" i="2"/>
  <c r="H9" i="2"/>
  <c r="I9" i="2"/>
  <c r="K8" i="2"/>
  <c r="L8" i="2"/>
  <c r="H8" i="2"/>
  <c r="I8" i="2"/>
  <c r="L7" i="2"/>
  <c r="H7" i="2"/>
  <c r="I7" i="2"/>
  <c r="K6" i="2"/>
  <c r="L6" i="2"/>
  <c r="H53" i="2"/>
  <c r="H51" i="2"/>
  <c r="K53" i="2"/>
  <c r="L53" i="2"/>
  <c r="H40" i="2"/>
  <c r="I40" i="2"/>
  <c r="K69" i="2"/>
  <c r="L69" i="2"/>
  <c r="K26" i="2"/>
  <c r="L26" i="2"/>
  <c r="K40" i="2"/>
  <c r="L40" i="2"/>
  <c r="H142" i="2"/>
  <c r="I142" i="2"/>
  <c r="K80" i="2"/>
  <c r="L80" i="2"/>
  <c r="H68" i="2"/>
  <c r="I68" i="2"/>
  <c r="K142" i="2"/>
  <c r="L142" i="2"/>
  <c r="K101" i="2"/>
  <c r="L101" i="2"/>
  <c r="K51" i="2"/>
  <c r="L51" i="2"/>
  <c r="H36" i="2"/>
  <c r="I36" i="2"/>
  <c r="H35" i="2"/>
  <c r="I35" i="2"/>
  <c r="H86" i="10"/>
  <c r="I86" i="10"/>
  <c r="K82" i="10"/>
  <c r="L82" i="10"/>
  <c r="H82" i="10"/>
  <c r="I82" i="10"/>
  <c r="K81" i="10"/>
  <c r="L81" i="10"/>
  <c r="H81" i="10"/>
  <c r="I81" i="10"/>
  <c r="K80" i="10"/>
  <c r="L80" i="10"/>
  <c r="H80" i="10"/>
  <c r="I80" i="10"/>
  <c r="K79" i="10"/>
  <c r="L79" i="10"/>
  <c r="H79" i="10"/>
  <c r="I79" i="10"/>
  <c r="K77" i="10"/>
  <c r="L77" i="10"/>
  <c r="H77" i="10"/>
  <c r="I77" i="10"/>
  <c r="K76" i="10"/>
  <c r="L76" i="10"/>
  <c r="H76" i="10"/>
  <c r="I76" i="10"/>
  <c r="K75" i="10"/>
  <c r="L75" i="10"/>
  <c r="H75" i="10"/>
  <c r="I75" i="10"/>
  <c r="K74" i="10"/>
  <c r="L74" i="10"/>
  <c r="H74" i="10"/>
  <c r="I74" i="10"/>
  <c r="K73" i="10"/>
  <c r="L73" i="10"/>
  <c r="H73" i="10"/>
  <c r="I73" i="10"/>
  <c r="K72" i="10"/>
  <c r="L72" i="10"/>
  <c r="H72" i="10"/>
  <c r="I72" i="10"/>
  <c r="K71" i="10"/>
  <c r="L71" i="10"/>
  <c r="H71" i="10"/>
  <c r="I71" i="10"/>
  <c r="K70" i="10"/>
  <c r="L70" i="10"/>
  <c r="H70" i="10"/>
  <c r="I70" i="10"/>
  <c r="K69" i="10"/>
  <c r="L69" i="10"/>
  <c r="H69" i="10"/>
  <c r="I69" i="10"/>
  <c r="K68" i="10"/>
  <c r="L68" i="10"/>
  <c r="H68" i="10"/>
  <c r="I68" i="10"/>
  <c r="K67" i="10"/>
  <c r="L67" i="10"/>
  <c r="H67" i="10"/>
  <c r="I67" i="10"/>
  <c r="K66" i="10"/>
  <c r="L66" i="10"/>
  <c r="H66" i="10"/>
  <c r="I66" i="10"/>
  <c r="K65" i="10"/>
  <c r="L65" i="10"/>
  <c r="H65" i="10"/>
  <c r="I65" i="10"/>
  <c r="K64" i="10"/>
  <c r="L64" i="10"/>
  <c r="H64" i="10"/>
  <c r="I64" i="10"/>
  <c r="K63" i="10"/>
  <c r="L63" i="10"/>
  <c r="H63" i="10"/>
  <c r="I63" i="10"/>
  <c r="K62" i="10"/>
  <c r="L62" i="10"/>
  <c r="H62" i="10"/>
  <c r="I62" i="10"/>
  <c r="K61" i="10"/>
  <c r="L61" i="10"/>
  <c r="H61" i="10"/>
  <c r="I61" i="10"/>
  <c r="K60" i="10"/>
  <c r="L60" i="10"/>
  <c r="H60" i="10"/>
  <c r="I60" i="10"/>
  <c r="K59" i="10"/>
  <c r="L59" i="10"/>
  <c r="H59" i="10"/>
  <c r="I59" i="10"/>
  <c r="K58" i="10"/>
  <c r="L58" i="10"/>
  <c r="H58" i="10"/>
  <c r="I58" i="10"/>
  <c r="K57" i="10"/>
  <c r="L57" i="10"/>
  <c r="H57" i="10"/>
  <c r="I57" i="10"/>
  <c r="K56" i="10"/>
  <c r="L56" i="10"/>
  <c r="H56" i="10"/>
  <c r="I56" i="10"/>
  <c r="K55" i="10"/>
  <c r="L55" i="10"/>
  <c r="H55" i="10"/>
  <c r="I55" i="10"/>
  <c r="K54" i="10"/>
  <c r="L54" i="10"/>
  <c r="H54" i="10"/>
  <c r="I54" i="10"/>
  <c r="K5" i="10"/>
  <c r="L5" i="10"/>
  <c r="H6" i="10"/>
  <c r="I6" i="10"/>
  <c r="H7" i="10"/>
  <c r="I7" i="10"/>
  <c r="H8" i="10"/>
  <c r="I8" i="10"/>
  <c r="H9" i="10"/>
  <c r="I9" i="10"/>
  <c r="H10" i="10"/>
  <c r="I10" i="10"/>
  <c r="H11" i="10"/>
  <c r="I11" i="10"/>
  <c r="H12" i="10"/>
  <c r="I12" i="10"/>
  <c r="H13" i="10"/>
  <c r="I13" i="10"/>
  <c r="H14" i="10"/>
  <c r="I14" i="10"/>
  <c r="H16" i="10"/>
  <c r="I16" i="10"/>
  <c r="H17" i="10"/>
  <c r="I17" i="10"/>
  <c r="H18" i="10"/>
  <c r="I18" i="10"/>
  <c r="H19" i="10"/>
  <c r="I19" i="10"/>
  <c r="H20" i="10"/>
  <c r="I20" i="10"/>
  <c r="H21" i="10"/>
  <c r="I21" i="10"/>
  <c r="H22" i="10"/>
  <c r="I22" i="10"/>
  <c r="H23" i="10"/>
  <c r="I23" i="10"/>
  <c r="H24" i="10"/>
  <c r="I24" i="10"/>
  <c r="H25" i="10"/>
  <c r="I25" i="10"/>
  <c r="H26" i="10"/>
  <c r="I26" i="10"/>
  <c r="H27" i="10"/>
  <c r="I27" i="10"/>
  <c r="H28" i="10"/>
  <c r="I28" i="10"/>
  <c r="H29" i="10"/>
  <c r="I29" i="10"/>
  <c r="H30" i="10"/>
  <c r="I30" i="10"/>
  <c r="H32" i="10"/>
  <c r="I32" i="10"/>
  <c r="H33" i="10"/>
  <c r="I33" i="10"/>
  <c r="H34" i="10"/>
  <c r="I34" i="10"/>
  <c r="H35" i="10"/>
  <c r="I35" i="10"/>
  <c r="H36" i="10"/>
  <c r="I36" i="10"/>
  <c r="H37" i="10"/>
  <c r="I37" i="10"/>
  <c r="H38" i="10"/>
  <c r="I38" i="10"/>
  <c r="H39" i="10"/>
  <c r="I39" i="10"/>
  <c r="H40" i="10"/>
  <c r="I40" i="10"/>
  <c r="K40" i="10"/>
  <c r="L40" i="10"/>
  <c r="K39" i="10"/>
  <c r="L39" i="10"/>
  <c r="K38" i="10"/>
  <c r="L38" i="10"/>
  <c r="K37" i="10"/>
  <c r="L37" i="10"/>
  <c r="K36" i="10"/>
  <c r="L36" i="10"/>
  <c r="K35" i="10"/>
  <c r="L35" i="10"/>
  <c r="K34" i="10"/>
  <c r="L34" i="10"/>
  <c r="K33" i="10"/>
  <c r="L33" i="10"/>
  <c r="K32" i="10"/>
  <c r="L32" i="10"/>
  <c r="K30" i="10"/>
  <c r="L30" i="10"/>
  <c r="K29" i="10"/>
  <c r="L29" i="10"/>
  <c r="K28" i="10"/>
  <c r="L28" i="10"/>
  <c r="K27" i="10"/>
  <c r="L27" i="10"/>
  <c r="K26" i="10"/>
  <c r="L26" i="10"/>
  <c r="K25" i="10"/>
  <c r="L25" i="10"/>
  <c r="K24" i="10"/>
  <c r="L24" i="10"/>
  <c r="K23" i="10"/>
  <c r="L23" i="10"/>
  <c r="K22" i="10"/>
  <c r="L22" i="10"/>
  <c r="K21" i="10"/>
  <c r="L21" i="10"/>
  <c r="K20" i="10"/>
  <c r="L20" i="10"/>
  <c r="K19" i="10"/>
  <c r="L19" i="10"/>
  <c r="K17" i="10"/>
  <c r="L17" i="10"/>
  <c r="K16" i="10"/>
  <c r="L16" i="10"/>
  <c r="K14" i="10"/>
  <c r="L14" i="10"/>
  <c r="K13" i="10"/>
  <c r="L13" i="10"/>
  <c r="K12" i="10"/>
  <c r="L12" i="10"/>
  <c r="K11" i="10"/>
  <c r="L11" i="10"/>
  <c r="K10" i="10"/>
  <c r="L10" i="10"/>
  <c r="K9" i="10"/>
  <c r="L9" i="10"/>
  <c r="K8" i="10"/>
  <c r="L8" i="10"/>
  <c r="K7" i="10"/>
  <c r="L7" i="10"/>
  <c r="K6" i="10"/>
  <c r="L6" i="10"/>
  <c r="H42" i="10"/>
  <c r="I42" i="10"/>
  <c r="K42" i="10"/>
  <c r="L42" i="10"/>
  <c r="H43" i="10"/>
  <c r="I43" i="10"/>
  <c r="K43" i="10"/>
  <c r="L43" i="10"/>
  <c r="H44" i="10"/>
  <c r="I44" i="10"/>
  <c r="K44" i="10"/>
  <c r="L44" i="10"/>
  <c r="H45" i="10"/>
  <c r="I45" i="10"/>
  <c r="K45" i="10"/>
  <c r="L45" i="10"/>
  <c r="H46" i="10"/>
  <c r="I46" i="10"/>
  <c r="K46" i="10"/>
  <c r="L46" i="10"/>
  <c r="H48" i="10"/>
  <c r="I48" i="10"/>
  <c r="K48" i="10"/>
  <c r="L48" i="10"/>
  <c r="H49" i="10"/>
  <c r="I49" i="10"/>
  <c r="K49" i="10"/>
  <c r="L49" i="10"/>
  <c r="H50" i="10"/>
  <c r="I50" i="10"/>
  <c r="K50" i="10"/>
  <c r="L50" i="10"/>
  <c r="H51" i="10"/>
  <c r="I51" i="10"/>
  <c r="K51" i="10"/>
  <c r="L51" i="10"/>
  <c r="H52" i="10"/>
  <c r="I52" i="10"/>
  <c r="K52" i="10"/>
  <c r="L52" i="10"/>
  <c r="H87" i="10"/>
  <c r="I87" i="10"/>
  <c r="K91" i="10"/>
  <c r="L91" i="10"/>
  <c r="K89" i="10"/>
  <c r="L89" i="10"/>
  <c r="K85" i="10"/>
  <c r="L85" i="10"/>
  <c r="K84" i="10"/>
  <c r="L84" i="10"/>
  <c r="H91" i="10"/>
  <c r="I91" i="10"/>
  <c r="H89" i="10"/>
  <c r="I89" i="10"/>
  <c r="H85" i="10"/>
  <c r="I85" i="10"/>
  <c r="H84" i="10"/>
  <c r="I84" i="10"/>
  <c r="K91" i="2"/>
  <c r="L91" i="2"/>
  <c r="K139" i="2"/>
  <c r="L139" i="2"/>
  <c r="H129" i="2"/>
  <c r="I129" i="2"/>
  <c r="H97" i="2"/>
  <c r="I97" i="2"/>
  <c r="K115" i="2"/>
  <c r="L115" i="2"/>
  <c r="H83" i="2"/>
  <c r="I83" i="2"/>
  <c r="K165" i="2"/>
  <c r="L165" i="2"/>
  <c r="K64" i="2"/>
  <c r="L64" i="2"/>
  <c r="K129" i="2"/>
  <c r="L129" i="2"/>
  <c r="K140" i="2"/>
  <c r="L140" i="2"/>
  <c r="K173" i="2"/>
  <c r="L173" i="2"/>
  <c r="C4" i="2"/>
  <c r="C3" i="2"/>
  <c r="C182" i="2"/>
  <c r="K13" i="2"/>
  <c r="L13" i="2"/>
  <c r="K83" i="2"/>
  <c r="L83" i="2"/>
  <c r="C67" i="2"/>
  <c r="H121" i="2"/>
  <c r="I121" i="2"/>
  <c r="H124" i="2"/>
  <c r="I124" i="2"/>
  <c r="H75" i="2"/>
  <c r="I75" i="2"/>
  <c r="K75" i="2"/>
  <c r="L75" i="2"/>
  <c r="H139" i="2"/>
  <c r="I139" i="2"/>
  <c r="C60" i="2"/>
  <c r="H140" i="2"/>
  <c r="I140" i="2"/>
  <c r="K25" i="2"/>
  <c r="L25" i="2"/>
  <c r="K97" i="2"/>
  <c r="L97" i="2"/>
  <c r="H64" i="2"/>
  <c r="I64" i="2"/>
  <c r="C114" i="2"/>
  <c r="C103" i="2"/>
  <c r="H104" i="2"/>
  <c r="I104" i="2"/>
  <c r="K5" i="2"/>
  <c r="L5" i="2"/>
  <c r="H5" i="2"/>
  <c r="I5" i="2"/>
  <c r="H60" i="2"/>
  <c r="I60" i="2"/>
  <c r="K67" i="2"/>
  <c r="L67" i="2"/>
  <c r="K60" i="2"/>
  <c r="L60" i="2"/>
  <c r="H114" i="2"/>
  <c r="I114" i="2"/>
  <c r="K114" i="2"/>
  <c r="L114" i="2"/>
  <c r="H67" i="2"/>
  <c r="I67" i="2"/>
  <c r="H103" i="2"/>
  <c r="I103" i="2"/>
  <c r="C59" i="2"/>
  <c r="C34" i="2"/>
  <c r="C163" i="2"/>
  <c r="C191" i="2"/>
  <c r="H4" i="2"/>
  <c r="I4" i="2"/>
  <c r="K4" i="2"/>
  <c r="L4" i="2"/>
  <c r="H3" i="2"/>
  <c r="I3" i="2"/>
  <c r="K3" i="2"/>
  <c r="L3" i="2"/>
  <c r="H59" i="2"/>
  <c r="I59" i="2"/>
  <c r="K103" i="2"/>
  <c r="L103" i="2"/>
  <c r="C164" i="2"/>
  <c r="C172" i="2"/>
  <c r="C193" i="2"/>
  <c r="K59" i="2"/>
  <c r="L59" i="2"/>
  <c r="H34" i="2"/>
  <c r="I34" i="2"/>
  <c r="K182" i="2"/>
  <c r="L182" i="2"/>
  <c r="H182" i="2"/>
  <c r="I182" i="2"/>
  <c r="H163" i="2"/>
  <c r="I163" i="2"/>
  <c r="H164" i="2"/>
  <c r="I164" i="2"/>
  <c r="H191" i="2"/>
  <c r="I191" i="2"/>
  <c r="H172" i="2"/>
  <c r="I172" i="2"/>
  <c r="H193" i="2"/>
  <c r="I193" i="2"/>
  <c r="K39" i="2"/>
  <c r="L39" i="2"/>
  <c r="K37" i="2"/>
  <c r="L37" i="2"/>
  <c r="K36" i="2"/>
  <c r="L36" i="2"/>
  <c r="K35" i="2"/>
  <c r="L35" i="2"/>
  <c r="K34" i="2"/>
  <c r="L34" i="2"/>
  <c r="K191" i="2"/>
  <c r="L191" i="2"/>
  <c r="K163" i="2"/>
  <c r="L163" i="2"/>
  <c r="K164" i="2"/>
  <c r="L164" i="2"/>
  <c r="K193" i="2"/>
  <c r="L193" i="2"/>
  <c r="K172" i="2"/>
  <c r="L172" i="2"/>
  <c r="C30" i="14" l="1"/>
  <c r="C3" i="14"/>
  <c r="D55" i="5"/>
  <c r="D53" i="5" s="1"/>
  <c r="D105" i="5" s="1"/>
  <c r="D133" i="5" s="1"/>
  <c r="D138" i="5" s="1"/>
  <c r="H101" i="5"/>
  <c r="I101" i="5" s="1"/>
  <c r="K111" i="5"/>
  <c r="L111" i="5" s="1"/>
  <c r="K114" i="5"/>
  <c r="L114" i="5" s="1"/>
  <c r="H123" i="5"/>
  <c r="I123" i="5" s="1"/>
  <c r="K123" i="5"/>
  <c r="L123" i="5" s="1"/>
  <c r="H120" i="5"/>
  <c r="I120" i="5" s="1"/>
  <c r="K120" i="5"/>
  <c r="L120" i="5" s="1"/>
  <c r="K117" i="5"/>
  <c r="L117" i="5" s="1"/>
  <c r="G45" i="5"/>
  <c r="H34" i="5"/>
  <c r="I34" i="5" s="1"/>
  <c r="K34" i="5"/>
  <c r="L34" i="5" s="1"/>
  <c r="K35" i="5"/>
  <c r="L35" i="5" s="1"/>
  <c r="H35" i="5"/>
  <c r="I35" i="5" s="1"/>
  <c r="E110" i="5"/>
  <c r="E107" i="5" s="1"/>
  <c r="E130" i="5" s="1"/>
  <c r="E72" i="5"/>
  <c r="K72" i="5" s="1"/>
  <c r="L72" i="5" s="1"/>
  <c r="C72" i="5"/>
  <c r="H114" i="5"/>
  <c r="I114" i="5" s="1"/>
  <c r="H66" i="5"/>
  <c r="I66" i="5" s="1"/>
  <c r="G110" i="5"/>
  <c r="E56" i="5"/>
  <c r="K56" i="5" s="1"/>
  <c r="L56" i="5" s="1"/>
  <c r="C56" i="5"/>
  <c r="H56" i="5"/>
  <c r="I56" i="5" s="1"/>
  <c r="C110" i="5"/>
  <c r="C107" i="5" s="1"/>
  <c r="C130" i="5" s="1"/>
  <c r="E88" i="5"/>
  <c r="K88" i="5" s="1"/>
  <c r="L88" i="5" s="1"/>
  <c r="H60" i="5"/>
  <c r="I60" i="5" s="1"/>
  <c r="H111" i="5"/>
  <c r="I111" i="5" s="1"/>
  <c r="C88" i="5"/>
  <c r="H89" i="5"/>
  <c r="I89" i="5" s="1"/>
  <c r="H117" i="5"/>
  <c r="I117" i="5" s="1"/>
  <c r="F55" i="5"/>
  <c r="F53" i="5" s="1"/>
  <c r="F105" i="5" s="1"/>
  <c r="F133" i="5" s="1"/>
  <c r="F138" i="5" s="1"/>
  <c r="H138" i="5" s="1"/>
  <c r="I138" i="5" s="1"/>
  <c r="H73" i="5"/>
  <c r="I73" i="5" s="1"/>
  <c r="H110" i="5" l="1"/>
  <c r="I110" i="5" s="1"/>
  <c r="K110" i="5"/>
  <c r="L110" i="5" s="1"/>
  <c r="K45" i="5"/>
  <c r="L45" i="5" s="1"/>
  <c r="H45" i="5"/>
  <c r="I45" i="5" s="1"/>
  <c r="E55" i="5"/>
  <c r="C55" i="5"/>
  <c r="C53" i="5" s="1"/>
  <c r="C105" i="5" s="1"/>
  <c r="C133" i="5" s="1"/>
  <c r="G107" i="5"/>
  <c r="K107" i="5" s="1"/>
  <c r="L107" i="5" s="1"/>
  <c r="H88" i="5"/>
  <c r="I88" i="5" s="1"/>
  <c r="H53" i="5"/>
  <c r="I53" i="5" s="1"/>
  <c r="G105" i="5"/>
  <c r="H55" i="5"/>
  <c r="I55" i="5" s="1"/>
  <c r="G130" i="5" l="1"/>
  <c r="K130" i="5" s="1"/>
  <c r="L130" i="5" s="1"/>
  <c r="E53" i="5"/>
  <c r="K55" i="5"/>
  <c r="L55" i="5" s="1"/>
  <c r="H107" i="5"/>
  <c r="I107" i="5" s="1"/>
  <c r="H105" i="5"/>
  <c r="I105" i="5" s="1"/>
  <c r="G133" i="5" l="1"/>
  <c r="H133" i="5" s="1"/>
  <c r="I133" i="5" s="1"/>
  <c r="H130" i="5"/>
  <c r="I130" i="5" s="1"/>
  <c r="E105" i="5"/>
  <c r="K53" i="5"/>
  <c r="L53" i="5" s="1"/>
  <c r="E133" i="5" l="1"/>
  <c r="K133" i="5" s="1"/>
  <c r="L133" i="5" s="1"/>
  <c r="K105" i="5"/>
  <c r="L105" i="5" s="1"/>
</calcChain>
</file>

<file path=xl/sharedStrings.xml><?xml version="1.0" encoding="utf-8"?>
<sst xmlns="http://schemas.openxmlformats.org/spreadsheetml/2006/main" count="1241" uniqueCount="920">
  <si>
    <t>Kods</t>
  </si>
  <si>
    <t>A</t>
  </si>
  <si>
    <t>I   IEŅĒMUMI NO SAIMNIECISKĀS DARBĪBAS KOPĀ</t>
  </si>
  <si>
    <t>Valsts budžeta līdzekļi</t>
  </si>
  <si>
    <t xml:space="preserve">stacionārai palīdzībai </t>
  </si>
  <si>
    <t>pacientu iemaksas par atbrīvotajām kategorijām (stacionāram)</t>
  </si>
  <si>
    <t>ambulatorai palīdzībai</t>
  </si>
  <si>
    <t>pacientu iemaksas par atbrīvotajām kategorijām (ambulatorai p.)</t>
  </si>
  <si>
    <t>asins sagatavošanas nodaļas pakalpojumiem</t>
  </si>
  <si>
    <t>citi ieņēmumi (piem.reģistru uztur., retajiem medikam. utt.)</t>
  </si>
  <si>
    <t>Ieņēmumi par valsts finansēto zinātnisko darbību (TOP;GRANTI)</t>
  </si>
  <si>
    <t>Valsts pārvaldes deleģēto uzdevumu veikšana (Černobiļas apliecības izsniegšana)</t>
  </si>
  <si>
    <t>Pakalpojumi no maznodrošinātajiem</t>
  </si>
  <si>
    <t>Dotācija no pašvaldības budžeta</t>
  </si>
  <si>
    <t>Uzņēmuma  nopelnītie līdzekļi</t>
  </si>
  <si>
    <t>pārējie saimnieciskās darbības ieņēmumi</t>
  </si>
  <si>
    <t>Saņemtās pacientu iemaksas (stacionāram)</t>
  </si>
  <si>
    <t>Saņemtās pacientu iemaksas (ambulatorai p.)</t>
  </si>
  <si>
    <t>Ziedojumi</t>
  </si>
  <si>
    <t>Pacienta līdzmaksājums par operāciju</t>
  </si>
  <si>
    <t>B</t>
  </si>
  <si>
    <t>1000</t>
  </si>
  <si>
    <t>ATLĪDZĪBA</t>
  </si>
  <si>
    <t>Atalgojums - kopā</t>
  </si>
  <si>
    <t>Mēneša amatalga</t>
  </si>
  <si>
    <t>Samaksa par darbu svētku dienās un virsstundu darbu</t>
  </si>
  <si>
    <t>Piemaksa par izdienu</t>
  </si>
  <si>
    <t>Piemaksa par personisko darba ieguldījumu un darba kvalitāti</t>
  </si>
  <si>
    <t>Piemaksa par papildu darbu</t>
  </si>
  <si>
    <t>Citas normatīvajos aktos noteiktās piemaksas, kas nav iepriekš klasificētas</t>
  </si>
  <si>
    <t>Atalgojums fiziskajām personām uz tiesiskās attiecības regulējošu dokumentu pamata</t>
  </si>
  <si>
    <t>Darba devēja piešķirtie labumi un maksājumi</t>
  </si>
  <si>
    <t>Darba devēja valsts sociālās apdrošināšanas obligātās iemaksas, sociāla rakstura pabalsti un kompensācijas</t>
  </si>
  <si>
    <t>Valsts sociālās apdrošināšanas  obligātās iemaksas</t>
  </si>
  <si>
    <t>Darba devēja sociāla rakstura pabalsti, kompensācijas un citi maksājumi</t>
  </si>
  <si>
    <t>Darba devēja sociāla rakstura pabalsti un kompensācijas, no kuriem aprēķina ienākuma nodokli un valsts sociālās apdrošināšanas obligātās iemaksas</t>
  </si>
  <si>
    <t>Studējošo kredītu dzēšana no piešķirtajiem budžeta līdzekļiem</t>
  </si>
  <si>
    <t>Mācību maksas kompensācija</t>
  </si>
  <si>
    <t>Darba devēja izdevumi veselības, dzīvības un nelaimes gadījumu apdrošināšanai</t>
  </si>
  <si>
    <t>PRECES UN PAKALPOJUMI</t>
  </si>
  <si>
    <t>Iekšzemes mācību, darba un dienesta komandējumi, dienesta, darba braucieni</t>
  </si>
  <si>
    <t>Dienas nauda</t>
  </si>
  <si>
    <t>Ārvalstu mācību, darba un dienesta komandējumi, dienesta, darba braucieni</t>
  </si>
  <si>
    <t>Pakalpojumi</t>
  </si>
  <si>
    <t>Izdevumi par komunālajiem pakalpojumiem</t>
  </si>
  <si>
    <t>Izdevumi par elektroenerģiju</t>
  </si>
  <si>
    <t>Izdevumi par pārējiem komunālajiem pakalpojumiem</t>
  </si>
  <si>
    <t>Izdevumi par transporta pakalpojumiem</t>
  </si>
  <si>
    <t>Normatīvajos aktos noteiktie darba devēja veselības izdevumi darba ņēmējiem</t>
  </si>
  <si>
    <t>Transportlīdzekļu uzturēšana un remonts</t>
  </si>
  <si>
    <t>Iekārtas, inventāra un aparatūras remonts, tehniskā apkalpošana</t>
  </si>
  <si>
    <t>Apdrošināšanas izdevumi</t>
  </si>
  <si>
    <t>Pārējie remontdarbu un iestāžu uzturēšanas pakalpojumi</t>
  </si>
  <si>
    <t>Informācijas tehnoloģiju pakalpojumi</t>
  </si>
  <si>
    <t>Īre un noma</t>
  </si>
  <si>
    <t>Ēku, telpu īre un noma</t>
  </si>
  <si>
    <t>Transportlīdzekļu noma</t>
  </si>
  <si>
    <t>Zemes noma</t>
  </si>
  <si>
    <t>Pārējā noma</t>
  </si>
  <si>
    <t>Izdevumi par tiesvedības darbiem</t>
  </si>
  <si>
    <t>Maksa par zinātniskās pētniecības darbu izpildi</t>
  </si>
  <si>
    <t>Maksājumi par saņemtajiem finanšu pakalpojumiem</t>
  </si>
  <si>
    <t>Krājumi, materiāli, energoresursi, preces, biroja preces un inventārs, kurus neuzskaita kodā 5000</t>
  </si>
  <si>
    <t>Biroja preces</t>
  </si>
  <si>
    <t>Inventārs</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</si>
  <si>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</si>
  <si>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</si>
  <si>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</si>
  <si>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</si>
  <si>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</si>
  <si>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</si>
  <si>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</si>
  <si>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Mīkstais inventārs</t>
  </si>
  <si>
    <t>Virtuves inventārs, trauki un galda piederumi</t>
  </si>
  <si>
    <t>Ēdināšanas izdevumi</t>
  </si>
  <si>
    <t>Apdrošināšanas izdevumi veselības, dzīvības un nelaimes gadījumu apdrošināšanai</t>
  </si>
  <si>
    <t>Mācību līdzekļi un materiāli</t>
  </si>
  <si>
    <t>Specifiskie materiāli un inventārs</t>
  </si>
  <si>
    <t>Pārējās preces</t>
  </si>
  <si>
    <t>Pievienotās vērtības nodokļa maksājumi</t>
  </si>
  <si>
    <t>Iedzīvotāju ienākuma nodoklis (no maksātnespējīgā darba devēja darbinieku prasījumu summām)</t>
  </si>
  <si>
    <t>Dabas resursu nodokļa maksājumi</t>
  </si>
  <si>
    <t>Uzņēmējdarbības riska valsts nodeva</t>
  </si>
  <si>
    <t>Pārējie pārskaitītie nodokļi un nodevas</t>
  </si>
  <si>
    <t>Pakalpojumi, kurus budžeta iestādes apmaksā noteikto funkciju ietvaros, kas nav iestādes administratīvie izdevumi</t>
  </si>
  <si>
    <t>PROCENTU IZDEVUMI</t>
  </si>
  <si>
    <t>Procentu maksājumi ārvalstu un starptautiskajām finanšu institūcijām</t>
  </si>
  <si>
    <t>Procentu maksājumi ārvalstu un starptautiskajām finanšu institūcijām no atvasināto finanšu instrumentu rezultāta</t>
  </si>
  <si>
    <t>Procentu maksājumi iekšzemes kredītiestādēm</t>
  </si>
  <si>
    <t>Procentu maksājumi iekšzemes kredītiestādēm no atvasināto finanšu instrumentu rezultāta</t>
  </si>
  <si>
    <t>Pārējie procentu maksājumi</t>
  </si>
  <si>
    <t>Procentu maksājumi Valsts kasei</t>
  </si>
  <si>
    <t>C</t>
  </si>
  <si>
    <t>KOPĀ IZDEVUMI</t>
  </si>
  <si>
    <t>D</t>
  </si>
  <si>
    <t>N O L I E T O J U M S</t>
  </si>
  <si>
    <t>Pamatlīdzekļu nolietojums</t>
  </si>
  <si>
    <t>Pamatlīdzekļu nolietojums (bez administrācijas un ēdināšanas izmaksām)</t>
  </si>
  <si>
    <t>Administratīvās daļas pamatlīdzekļu nolietojums</t>
  </si>
  <si>
    <t>Pamatlīdzekļu nolietojums, kas saistīts ar ēdināšanas nodrošināšanu</t>
  </si>
  <si>
    <t>E</t>
  </si>
  <si>
    <t>III  PĀRĒJIE IEŅĒMUMI</t>
  </si>
  <si>
    <t>Depozītnoguldījumi</t>
  </si>
  <si>
    <t>Saņemtās soda naudas</t>
  </si>
  <si>
    <t>Atmaksātās mācību maksas</t>
  </si>
  <si>
    <t xml:space="preserve">Ieņēmumi no pamatlīdzekļu izslēgšanas </t>
  </si>
  <si>
    <t>Ieņēmumuos ieskaitītās pārvērtēšanas rezerves samazinājums</t>
  </si>
  <si>
    <t>Citi ieņēmumi</t>
  </si>
  <si>
    <t>F</t>
  </si>
  <si>
    <t>III IEŅĒMUMI PAVISAM (I+III)</t>
  </si>
  <si>
    <t>IV  PĀRĒJIE IZDEVUMI</t>
  </si>
  <si>
    <t>Citi izdevumi</t>
  </si>
  <si>
    <t>Norakstīto pamatlīdzekļu atlikusī vērtība</t>
  </si>
  <si>
    <t>Izdevumi no valūtas konvertācijas</t>
  </si>
  <si>
    <t>G</t>
  </si>
  <si>
    <t>IV IZDEVUMI   PAVISAM (II + IV)</t>
  </si>
  <si>
    <t>Atliktā UIN saistības</t>
  </si>
  <si>
    <t xml:space="preserve"> V PEĻŅA  VAI  ZAUDĒJUMI</t>
  </si>
  <si>
    <t>0010</t>
  </si>
  <si>
    <t>00110</t>
  </si>
  <si>
    <t>Valsts apmaksātie veselības aprūpes pakalpojumi</t>
  </si>
  <si>
    <t>00111</t>
  </si>
  <si>
    <t>00112</t>
  </si>
  <si>
    <t>00113</t>
  </si>
  <si>
    <t>00114</t>
  </si>
  <si>
    <t>00120</t>
  </si>
  <si>
    <t>Valsts apmaksātie sociālie pakalpojumi</t>
  </si>
  <si>
    <t>00121</t>
  </si>
  <si>
    <t>Sociālās aprūpes pakalpojumi</t>
  </si>
  <si>
    <t>00122</t>
  </si>
  <si>
    <t>Sociālās rehabilitācijas pakalpojumi</t>
  </si>
  <si>
    <t>00130</t>
  </si>
  <si>
    <t>Ieņēmumi par izglītojošo in zinātnisko darbību</t>
  </si>
  <si>
    <t>00131</t>
  </si>
  <si>
    <t>Ieņēmumi par rezidentu apmācību</t>
  </si>
  <si>
    <t>00132</t>
  </si>
  <si>
    <t>00140</t>
  </si>
  <si>
    <t>00141</t>
  </si>
  <si>
    <t>00142</t>
  </si>
  <si>
    <t>00143</t>
  </si>
  <si>
    <t>00144</t>
  </si>
  <si>
    <t>0020</t>
  </si>
  <si>
    <t>00211</t>
  </si>
  <si>
    <t>0030</t>
  </si>
  <si>
    <t>maksas veselības aprūpes pakalpojumi</t>
  </si>
  <si>
    <t>maksas sociālie pakalpojumi</t>
  </si>
  <si>
    <t>00313</t>
  </si>
  <si>
    <t>Piemaksa par nakts darbu</t>
  </si>
  <si>
    <t>Finansējums valsts galvotā aizdevuma saistību atmaksas nodrošināšanai</t>
  </si>
  <si>
    <t>0040</t>
  </si>
  <si>
    <t>0050</t>
  </si>
  <si>
    <t>0060</t>
  </si>
  <si>
    <t>0070</t>
  </si>
  <si>
    <t>0080</t>
  </si>
  <si>
    <t>Piemaksas, prēmijas un naudas balvas</t>
  </si>
  <si>
    <t>Piemaksa par darbu īpašos apstākļos, speciālās piemaksas</t>
  </si>
  <si>
    <t>Prēmijas un naudas balvas</t>
  </si>
  <si>
    <t>Mācību, darba un dienesta komandējumi, darba braucieni</t>
  </si>
  <si>
    <t>Izdevumi par atkritumu savākšanu, izvešanu no apdzīvotām vietām un teritorijām ārpus apdzīvotām vietām un atkritumu utilizāciju</t>
  </si>
  <si>
    <t>Remontdarbi un iestāžu uzturēšanas pakalpojumi (izņemot kapitālo remontu)</t>
  </si>
  <si>
    <t xml:space="preserve">Nekustamā īpašuma uzturēšana </t>
  </si>
  <si>
    <t>Iekārtu, aparatūras un inventāra īre un noma</t>
  </si>
  <si>
    <t>Izdevumi juridiskās palīdzības sniedzējiem un zvērinātiem tiesu izpildītājiem</t>
  </si>
  <si>
    <t>Pārējie valsts un pašvaldību aprūpē un apgādē esošo personu uzturēšanas izdevumi, kuri nav minēti citos koda 2360 apakškodos</t>
  </si>
  <si>
    <t>Valsts sociālās apdrošināšanas  obligātās iemaksas (no maksātnespējīga darba devēja darbinieku prasījumu summām)</t>
  </si>
  <si>
    <t>Procentu maksājumi iekšzemes finanšu institūcijām par aizņēmumiem un vērtspapīriem</t>
  </si>
  <si>
    <t>Līzinga procentu maksājumi</t>
  </si>
  <si>
    <t>Procentu maksājumi par aizņēmumiem no pašvaldību budžeta</t>
  </si>
  <si>
    <t>0100</t>
  </si>
  <si>
    <t>0110</t>
  </si>
  <si>
    <t>0120</t>
  </si>
  <si>
    <t>0130</t>
  </si>
  <si>
    <t>0140</t>
  </si>
  <si>
    <t>0150</t>
  </si>
  <si>
    <t>0170</t>
  </si>
  <si>
    <t>0180</t>
  </si>
  <si>
    <t>0190</t>
  </si>
  <si>
    <t>Zaudējumi no valūtas kursa svārstībām</t>
  </si>
  <si>
    <t>Izdevumi debitoru parādu norakstīšanai un uzkrājumu veidošanai</t>
  </si>
  <si>
    <t>Pārējie iepriekš neuzskaitītie budžeta izdevumi, kas veidojas pēc uzkrāšanas principa un nav uzskaitīti citos koda 8000 apakškodos</t>
  </si>
  <si>
    <t>H</t>
  </si>
  <si>
    <t>I</t>
  </si>
  <si>
    <t>Naudas līdzekļu atlikums perioda sākumā</t>
  </si>
  <si>
    <t>Pamatdarbības naudas plūsma</t>
  </si>
  <si>
    <t>Saimnieciskās darbības ieņēmumi</t>
  </si>
  <si>
    <t>Valsts līdzekļi pamatdarbībai kopā</t>
  </si>
  <si>
    <t>Uzņēmuma nopelnītie līdzekļi</t>
  </si>
  <si>
    <t>Saimnieciskās darbības izdevumi</t>
  </si>
  <si>
    <t>Sniegto pakalpojumu izdevumi</t>
  </si>
  <si>
    <t>Pārējie uzņēmuma saimnieciskās darbības izdevumi</t>
  </si>
  <si>
    <t>Pamatdarbības neto naudas plūsma (11 000-12 000)</t>
  </si>
  <si>
    <t>J</t>
  </si>
  <si>
    <t>Ieguldījumu darbības naudas plūsma</t>
  </si>
  <si>
    <t>Ieņēmumi no pamatlīdzekļu un nemateriālo ieguldījumu pārdošanas</t>
  </si>
  <si>
    <t>Izsniegtie aizdevumi</t>
  </si>
  <si>
    <t>Ieņēmumi no aizdevumu atmaksas</t>
  </si>
  <si>
    <t>K</t>
  </si>
  <si>
    <t>Finansēšanas darbības naudas plūsma</t>
  </si>
  <si>
    <t>Saņemtās subsīdijas, dotācijas, dāvinājumi vai ziedojumi</t>
  </si>
  <si>
    <t>Ieņēmumi no akciju un obligāciju emisijas vai kapitāla līdzdalības daļu ieguldījumiem</t>
  </si>
  <si>
    <t>Izdevumi nomāta pamatlīdzekļa izpirkumam</t>
  </si>
  <si>
    <t>Izmaksātās dividendes</t>
  </si>
  <si>
    <t>Ārvalstu valūtu kursu svārstību rezultāts</t>
  </si>
  <si>
    <t>Klientu uzdevumā veiktā naudas saņemšana un izmaksāšana</t>
  </si>
  <si>
    <t>Naudas līdzekļu atlikums perioda beigās</t>
  </si>
  <si>
    <t>Valsts galvotais aizdevums</t>
  </si>
  <si>
    <t>ES fondu projektu līdzfinansējums</t>
  </si>
  <si>
    <t>Citu ārvalstu projektu līdzfinansējums</t>
  </si>
  <si>
    <t>Pašu līdzekļi</t>
  </si>
  <si>
    <t>Budžeta līdzekļi</t>
  </si>
  <si>
    <t>Pacientu personīgie līdzekļi</t>
  </si>
  <si>
    <t>Citi finanšu līdzekļi</t>
  </si>
  <si>
    <t>Elektroenerģijas patērinš (kWh)</t>
  </si>
  <si>
    <t>27500</t>
  </si>
  <si>
    <t>27400</t>
  </si>
  <si>
    <t>X</t>
  </si>
  <si>
    <t>27100</t>
  </si>
  <si>
    <t>27000</t>
  </si>
  <si>
    <t>26450</t>
  </si>
  <si>
    <t>26440</t>
  </si>
  <si>
    <t>26430</t>
  </si>
  <si>
    <t>26420</t>
  </si>
  <si>
    <t>26410</t>
  </si>
  <si>
    <t>26400</t>
  </si>
  <si>
    <t>26350</t>
  </si>
  <si>
    <t>26340</t>
  </si>
  <si>
    <t>26330</t>
  </si>
  <si>
    <t>26320</t>
  </si>
  <si>
    <t>26310</t>
  </si>
  <si>
    <t>Vidējais darbinieku skaits (cilv.)</t>
  </si>
  <si>
    <t>26300</t>
  </si>
  <si>
    <t>26250</t>
  </si>
  <si>
    <t>26240</t>
  </si>
  <si>
    <t>26230</t>
  </si>
  <si>
    <t>26220</t>
  </si>
  <si>
    <t>26210</t>
  </si>
  <si>
    <t xml:space="preserve">Vidējie ienākumi uz vienu štata vienību likmi </t>
  </si>
  <si>
    <t>26200</t>
  </si>
  <si>
    <t>26150</t>
  </si>
  <si>
    <t>26140</t>
  </si>
  <si>
    <t>26130</t>
  </si>
  <si>
    <t>26120</t>
  </si>
  <si>
    <t>26110</t>
  </si>
  <si>
    <t xml:space="preserve">Štata vienību / likmju vidējais skaits </t>
  </si>
  <si>
    <t>26100</t>
  </si>
  <si>
    <t>26000</t>
  </si>
  <si>
    <t>25500</t>
  </si>
  <si>
    <t xml:space="preserve">Klientu skaits </t>
  </si>
  <si>
    <t>25400</t>
  </si>
  <si>
    <t>25300</t>
  </si>
  <si>
    <t>25200</t>
  </si>
  <si>
    <t>Klientu dienu skaits</t>
  </si>
  <si>
    <t>25100</t>
  </si>
  <si>
    <t>25000</t>
  </si>
  <si>
    <t>24500</t>
  </si>
  <si>
    <t>24400</t>
  </si>
  <si>
    <t>24300</t>
  </si>
  <si>
    <t>24200</t>
  </si>
  <si>
    <t>24100</t>
  </si>
  <si>
    <t>24000</t>
  </si>
  <si>
    <t>23320</t>
  </si>
  <si>
    <t>t.sk. dienas stacionārā</t>
  </si>
  <si>
    <t>23300</t>
  </si>
  <si>
    <t>23290</t>
  </si>
  <si>
    <t>23280</t>
  </si>
  <si>
    <t>23270</t>
  </si>
  <si>
    <t>23262</t>
  </si>
  <si>
    <t>23261</t>
  </si>
  <si>
    <t>23251</t>
  </si>
  <si>
    <t>23250</t>
  </si>
  <si>
    <t>Vidējais gultu skaits stacionārā</t>
  </si>
  <si>
    <t>23210</t>
  </si>
  <si>
    <t>23200</t>
  </si>
  <si>
    <t>231132</t>
  </si>
  <si>
    <t>231131</t>
  </si>
  <si>
    <t>23113</t>
  </si>
  <si>
    <t>23112</t>
  </si>
  <si>
    <t>23111</t>
  </si>
  <si>
    <t>23110</t>
  </si>
  <si>
    <t>23100</t>
  </si>
  <si>
    <t>23000</t>
  </si>
  <si>
    <t>Naturālie rādītāji</t>
  </si>
  <si>
    <t>23231</t>
  </si>
  <si>
    <t>23232</t>
  </si>
  <si>
    <t>VADC asins komponenti</t>
  </si>
  <si>
    <t>Medicīnas preces</t>
  </si>
  <si>
    <t>Implanti</t>
  </si>
  <si>
    <t>Medicīnas instrumenti</t>
  </si>
  <si>
    <t>Asins iegāde (izdevumi atlīdzībai donoriem)</t>
  </si>
  <si>
    <t>00311</t>
  </si>
  <si>
    <t>00312</t>
  </si>
  <si>
    <t>Kapitālais remonts un rekonstrukcija</t>
  </si>
  <si>
    <t>Kopā intelektuālie īpašumi</t>
  </si>
  <si>
    <t>Kopā nekustamie īpašumi</t>
  </si>
  <si>
    <t>Kopā kustamie īpašumi</t>
  </si>
  <si>
    <t>Kopā ieguldījumi</t>
  </si>
  <si>
    <t>Medicīnas un laboratoijas iekārtas t.sk.:</t>
  </si>
  <si>
    <t>Pārējās tehnoloģiskās iekārtas un mašīnas t.sk.:</t>
  </si>
  <si>
    <t>Pārējās licences, koncesijas un patenti, preču zīmes un tamlīdzīgas tiesības t.sk.:</t>
  </si>
  <si>
    <t>Saņemtās pacientu iemaksas (ambulatorai palīdzībai)</t>
  </si>
  <si>
    <t>pacientu iemaksas par atbrīvotajām kategorijām (ambulatorai palīdzībai)</t>
  </si>
  <si>
    <t>Atalgojums (1100)</t>
  </si>
  <si>
    <t>Darba devēja valsts sociālās apdrošināšanas obligātās iemaksas, sociāla rakstura pabalsti un kompensācijas (1200)</t>
  </si>
  <si>
    <t>Mācību, darba un dienesta komandējumi, darba braucieni (2100)</t>
  </si>
  <si>
    <t>Pakalpojumi (2200)</t>
  </si>
  <si>
    <t>Krājumi, materiāli, energoresursi, preces, biroja preces un inventārs, kurus neuzskaita kodā 5000 (2300; bez 2340)</t>
  </si>
  <si>
    <t>Zāles, ķimikālijas, laboratorijas preces, medicīniskās ierīces, medicīniskie instrumenti, laboratorijas dzīvnieki un to uzturēšana (2340)</t>
  </si>
  <si>
    <t>Procentu izdevumi (4000)</t>
  </si>
  <si>
    <t>Pārējie izdevumi (2400;2500; 2800)</t>
  </si>
  <si>
    <t>L</t>
  </si>
  <si>
    <t>Radniecīgo sabiedrību, asociēto sabiedrību vai citu sabiedrību akciju vai daļu iegāde</t>
  </si>
  <si>
    <t>Ieņēmumi no radniecīgo sabiedrību, asociēto sabiedrību vai citu sabiedrību akciju vai daļu atsavināšanas</t>
  </si>
  <si>
    <t>Kustamais īpašums</t>
  </si>
  <si>
    <t>Nekustamais īpašums</t>
  </si>
  <si>
    <t>Intelektuālais īpašums</t>
  </si>
  <si>
    <t>Ieguldīšanas darbības ieņēmumi</t>
  </si>
  <si>
    <t>Saņemtie procenti</t>
  </si>
  <si>
    <t>Saņemtās dividendes</t>
  </si>
  <si>
    <t>Ieguldīšanas darbības izdevumi</t>
  </si>
  <si>
    <t>Saņemtie aizņēmumi</t>
  </si>
  <si>
    <t>Finansēšanas darbības ieņēmumi</t>
  </si>
  <si>
    <t>Finansēšanas darbības izdevumi</t>
  </si>
  <si>
    <t>Izdevumi aizņēmumu atmaksāšanai</t>
  </si>
  <si>
    <t>Finansēšanas darbības naudas neto plūsma (17 000-18 000)</t>
  </si>
  <si>
    <t>Ieguldīšanas darbības neto naudas plūsma  (14000-15 000)</t>
  </si>
  <si>
    <t>Mēneša amatalga valdei</t>
  </si>
  <si>
    <t>Mēneša amatalga pārējiem darbiniekiem</t>
  </si>
  <si>
    <t>Zāles (medikamenti)</t>
  </si>
  <si>
    <t>Medikamenti noteikto funkciju nodrošināšanai</t>
  </si>
  <si>
    <t>Bezmaksas saņemto medikamentu un medicīnas preču, kas novērtētas naudas izteiksmē izlietojums</t>
  </si>
  <si>
    <t>Darba devēja pabalsti un kompensācijas, no kā neaprēķina iedzīvotāju ienākuma nodokli un valsts sociālās apdrošināšanas obligātās iemaksas</t>
  </si>
  <si>
    <t>Citi ieņēmumi (Ieņēmumi no bez atlīdzības saņemtajām precēm, investīcijām u.tml.)</t>
  </si>
  <si>
    <t>Izdarīto operāciju skaits diennakts stacionārā</t>
  </si>
  <si>
    <t>Ārstēšanas vidējais ilgums diennakts stacionārā (dienas)</t>
  </si>
  <si>
    <t>23321</t>
  </si>
  <si>
    <t>233211</t>
  </si>
  <si>
    <t>23322</t>
  </si>
  <si>
    <t>233221</t>
  </si>
  <si>
    <t>23350</t>
  </si>
  <si>
    <t>23330</t>
  </si>
  <si>
    <t>23340</t>
  </si>
  <si>
    <t>II  IZDEVUMI SAIMNIECISKĀS DARBĪBAS NODROŠINĀŠANAI KOPĀ</t>
  </si>
  <si>
    <t>Sterilizācijas un dezinfekcijas līdzekļi</t>
  </si>
  <si>
    <t>Laboratorijas preces</t>
  </si>
  <si>
    <t>Vidējais gultu skaits dienas stacionārā</t>
  </si>
  <si>
    <t>232501</t>
  </si>
  <si>
    <t>232511</t>
  </si>
  <si>
    <t>23230</t>
  </si>
  <si>
    <t>PEĻŅA PIRMS AMORTIZĀCIJAS UN PĀRĒJIEM IEŅĒMUMIEM</t>
  </si>
  <si>
    <t>PEĻŅA PIRMS PĀRĒJIEM IEŅĒMUMIEM, IZDEVUMIEM UN ĀRKĀRTAS IEŅĒMUMIEM</t>
  </si>
  <si>
    <t>Ieņēmumi no pārdotiem materiāliem un pamatlīdzekļiem</t>
  </si>
  <si>
    <t>Procentu maksājumi ārvalstu un starptautiskajām finanšu institūcijām par aizņēmumiem un vērtspapīriem</t>
  </si>
  <si>
    <t>Uzkrājums atvaļinājumu rezervēm,piem., uzņēmuma vadītājiem par pārskata gadu</t>
  </si>
  <si>
    <t>Ieņēmumos ieskaitītās dotācijas, dāvinājumi atbilstoši dāvināto pamatlīdzekļu nolietojumam par pārskata periodu</t>
  </si>
  <si>
    <t>Asins iegāde</t>
  </si>
  <si>
    <t>23351</t>
  </si>
  <si>
    <t>Medicīnas preces un instrumenti, laboratorijas dzīvnieki un to uzturēšana</t>
  </si>
  <si>
    <t>Izdarīto operāciju skaits dienas stacionārā</t>
  </si>
  <si>
    <t>Palīgtelpas (garāžas, šķūņi, katlumājas utt.)</t>
  </si>
  <si>
    <t>Bilances posteņi</t>
  </si>
  <si>
    <t>Pašu kapitāls</t>
  </si>
  <si>
    <t>Pamatkapitāls</t>
  </si>
  <si>
    <t>Pārējās rezerves</t>
  </si>
  <si>
    <t>Nesadalītā peļņa:</t>
  </si>
  <si>
    <t>Iepriekšējo gadu nesadalītā peļņa</t>
  </si>
  <si>
    <t>Pārskata gada nesadalītā peļņa</t>
  </si>
  <si>
    <t>Uzkrājumi</t>
  </si>
  <si>
    <t>Kreditori</t>
  </si>
  <si>
    <t>Ilgtermiņa kreditori</t>
  </si>
  <si>
    <t>Aizņēmumi no kredītiestādēm</t>
  </si>
  <si>
    <t>Atliktā uzņēmuma ienākuma nodokļa saistības</t>
  </si>
  <si>
    <t>Citi aizņēmumi</t>
  </si>
  <si>
    <t>Nākamo periodu ieņēmumi</t>
  </si>
  <si>
    <t>Citi kreditori</t>
  </si>
  <si>
    <t>Īstermiņa kreditori</t>
  </si>
  <si>
    <t>No pircējiem saņemtie avansi</t>
  </si>
  <si>
    <t>Parādi piegādātājiem un darbuzņēmējiem</t>
  </si>
  <si>
    <t>Nodokļi un sociālās nodroš.maksājumi</t>
  </si>
  <si>
    <t>Pārējie kreditori</t>
  </si>
  <si>
    <t>Uzkrātās saistības</t>
  </si>
  <si>
    <t>PASĪVU KOPSUMMA (45 000+46 000+47 000+48 000)</t>
  </si>
  <si>
    <t>Ilgtermiņa ieguldījumi</t>
  </si>
  <si>
    <t>Nemateriālie ieguldījumi</t>
  </si>
  <si>
    <t>Koncesijas,patenti,licences</t>
  </si>
  <si>
    <t>Avansa maksājumi par nemater.ieguldījumiem</t>
  </si>
  <si>
    <t>Pamatlīdzekļi</t>
  </si>
  <si>
    <t>Zemes gabali,ēkas un būves un ilggadīgie stādījumi</t>
  </si>
  <si>
    <t>Iekārtas un mašīnas</t>
  </si>
  <si>
    <t>Pārējie pamatlīdzekļi un inventārs</t>
  </si>
  <si>
    <t>Pamatl.izveidošana un nepab.celtniecība</t>
  </si>
  <si>
    <t>Avansa maksājumi par pamatlīdzekļiem</t>
  </si>
  <si>
    <t>Ieguldījumi nomātos pamatlīdzekļos</t>
  </si>
  <si>
    <t>Ilgtermiņa finanšu ieguldījumi</t>
  </si>
  <si>
    <t>Līdzdalība radniecīgo uzņēmumu kapitālā</t>
  </si>
  <si>
    <t>Pārējie vērtspapīri un ieguldījumi fondos</t>
  </si>
  <si>
    <t>Apgrozāmie līdzekļi</t>
  </si>
  <si>
    <t>Krājumi</t>
  </si>
  <si>
    <t>Izejvielas, pamatmateriāli un palīgmateriāli</t>
  </si>
  <si>
    <t>Gatavie ražojumi un preces pārdošanai</t>
  </si>
  <si>
    <t>Avansa maksājumi par precēm</t>
  </si>
  <si>
    <t>Debitori</t>
  </si>
  <si>
    <t>Pircēju,pasūtītāju parādi</t>
  </si>
  <si>
    <t>Radniecīgo uzņēmumu parādi</t>
  </si>
  <si>
    <t>Citi debitori</t>
  </si>
  <si>
    <t>Nākamo periodu izmaksas</t>
  </si>
  <si>
    <t>Uzkrātie ieņēmumi</t>
  </si>
  <si>
    <t>Nauda</t>
  </si>
  <si>
    <t>AKTĪVU KOPSUMMA (50 000+51 000)</t>
  </si>
  <si>
    <t>Kredītsaistības  (21 000+22 000)</t>
  </si>
  <si>
    <t xml:space="preserve">Ilgtermiņa kredītsaistības kopā </t>
  </si>
  <si>
    <t xml:space="preserve">Īstermiņa kredītsaistības kopā </t>
  </si>
  <si>
    <t>00150</t>
  </si>
  <si>
    <t>Finansējums Tehnisko palīglīdzekļu centra funkciju nodrošināšanai</t>
  </si>
  <si>
    <t>00212</t>
  </si>
  <si>
    <t>Veselības aprūpes pakalpojumiem</t>
  </si>
  <si>
    <t>Sociāliem pakalpojumiem</t>
  </si>
  <si>
    <t>Ieņēmumi par valsts finansēto zinātnisko darbību (TOP; GRANTI)</t>
  </si>
  <si>
    <t>Pārējie komandējumu un darba braucienu izdevumi</t>
  </si>
  <si>
    <t>Izdevumi par sakaru pakalpojumiem</t>
  </si>
  <si>
    <t>Izdevumi par siltumenerģiju</t>
  </si>
  <si>
    <t>Izdevumi par ūdensapgādi un kanalizāciju</t>
  </si>
  <si>
    <t>Dažādi pakalpojumi</t>
  </si>
  <si>
    <t>Izdevumi iestādes sabiedrisko aktivitāšu īstenošanai</t>
  </si>
  <si>
    <t>Izdevumi par profesionālās darbības pakalpojumiem</t>
  </si>
  <si>
    <t>Izdevumi par saņemtajiem mācību pakalpojumiem</t>
  </si>
  <si>
    <t>Maksājumu pakalpojumi un komisijas</t>
  </si>
  <si>
    <t>Pārējie neklasificētie pakalpojumi</t>
  </si>
  <si>
    <t>Ēku, būvju un telpu būvdarbi</t>
  </si>
  <si>
    <t>Pārējie pakalpojumi</t>
  </si>
  <si>
    <t>Ar brīvprātīgā darba veikšanu saistītie izdevumi</t>
  </si>
  <si>
    <t>Izdevumi par dažādām precēm un inventāru</t>
  </si>
  <si>
    <t>Darba aizsardzības līdzekļi</t>
  </si>
  <si>
    <t>Izdevumi par precēm iestādes sabiedrisko aktivitāšu īstenošanai</t>
  </si>
  <si>
    <t>Iestāžu uzturēšanas materiāli un preces</t>
  </si>
  <si>
    <t>Valsts un pašvaldību aprūpē, apgādē un dienestā (amatā) esošo personu uzturēšana</t>
  </si>
  <si>
    <t>Formas tērpi un speciālais apģērbs</t>
  </si>
  <si>
    <t>Nodokļu, nodevu un sankciju maksājumi</t>
  </si>
  <si>
    <t>Nodokļu un nodevu maksājumi</t>
  </si>
  <si>
    <t>Nekustamā īpašuma nodokļa maksājumi</t>
  </si>
  <si>
    <t>Maksājumi par budžeta iestādēm piemērotajām sankcijām</t>
  </si>
  <si>
    <t>Valsts budžeta (Valsts kases) procentu maksājumi</t>
  </si>
  <si>
    <t>Pārējie iepriekš neklasificētie procentu maksājumi</t>
  </si>
  <si>
    <t>Nemateriālo ieguldījumu nolietojums</t>
  </si>
  <si>
    <t>Rādītāja nosaukums</t>
  </si>
  <si>
    <t>Neto apgrozījums</t>
  </si>
  <si>
    <t>Pārdotās produkcijas ražošanas izmaksas</t>
  </si>
  <si>
    <t>Bruto peļņa vai zaudējumi (no apgrozījuma)</t>
  </si>
  <si>
    <t>Pārdošanas izmaksas</t>
  </si>
  <si>
    <t>Administrācijas izmaksas</t>
  </si>
  <si>
    <t xml:space="preserve">Pārējie saimnieciskās darbības ieņēmumi </t>
  </si>
  <si>
    <t>Pārējie saimnieciskās darbības izmaksas</t>
  </si>
  <si>
    <t>Ieņēmumi no līdzdalības meitas un asociēto sabiedrību kapitālos</t>
  </si>
  <si>
    <t>Ieņēmumi no vērtspapīriem un aizdevumiem, kas veidojuši ilgtermiņa aizdevumus</t>
  </si>
  <si>
    <t>Pārējie procentu ieņēmumi un tamlīdzīgi ieņēmumi</t>
  </si>
  <si>
    <t>Ilgtermiņa finanšu ieguldījumi un īstermiņa vērtspapīru vērtības norakstīšana</t>
  </si>
  <si>
    <t>Procentu maksājumi un tamlīdzīgas izmaksas</t>
  </si>
  <si>
    <t>Peļņa vai zaudējumi pirms ārkārtas posteņiem un nodokļiem</t>
  </si>
  <si>
    <t>Ārkārtas ieņēmumi</t>
  </si>
  <si>
    <t>Ārkārtas izmaksas</t>
  </si>
  <si>
    <t>Ārkārtas peļņa vai zaudējumi pirms nodokļiem</t>
  </si>
  <si>
    <t>Uzņēmuma ienākuma nodoklis par pārskata periodu</t>
  </si>
  <si>
    <t>Atliktā nodokļa ieņēmumi vai izmaksas</t>
  </si>
  <si>
    <t>Pārējie nodokļi</t>
  </si>
  <si>
    <t>Pārskata perioda peļņa vai zaudējumi pēc nodokļiem</t>
  </si>
  <si>
    <t>Nr.p.k.</t>
  </si>
  <si>
    <t>Naudas plūsmas pozīcijas</t>
  </si>
  <si>
    <t>Citi ieņēmumi (piem.reģistru uztur., retajiem medikam. utt.)</t>
  </si>
  <si>
    <t>VESELĪBAS APRŪPE</t>
  </si>
  <si>
    <t>Neatliekamās medicīniskās palīdzības sniegšana uzņemšanas nodaļā (t.sk. traumpunktā), izslēdzot dzemdības un plānveida hospitalizācijas</t>
  </si>
  <si>
    <t>Kopējais pacientu skaits periodā, kas vērsušies NMPUN, t.sk.</t>
  </si>
  <si>
    <t>Pacientu skaits periodā, kuri pēc observācijas novirzīti turpmākai ambulatorai ārstēšanai</t>
  </si>
  <si>
    <t>Pacientu skaits periodā, kuri pēc observācijas stacionēti</t>
  </si>
  <si>
    <t>23212</t>
  </si>
  <si>
    <t>Kopējais stacionēto pacientu skaits no NMPUN (23112+231132)</t>
  </si>
  <si>
    <t>23213</t>
  </si>
  <si>
    <t>23214</t>
  </si>
  <si>
    <t>23215</t>
  </si>
  <si>
    <t>Observācijas gadījumu īpatsvars no kopējā gadījumu skaita uzņemšanas nodaļā (23113/23110), %</t>
  </si>
  <si>
    <t>STACIONĀRĀ VESELĪBAS APRŪPE</t>
  </si>
  <si>
    <t>Kopējais gultu dienu skaits</t>
  </si>
  <si>
    <t>Stacionārā pacienta dienas vidējā realizācijas maksa, EUR</t>
  </si>
  <si>
    <t>Stacionārā pacienta dienas vidējā pašizmaksa, EUR</t>
  </si>
  <si>
    <t>23252</t>
  </si>
  <si>
    <t>232521</t>
  </si>
  <si>
    <t>AMBULATORĀ VESELĪBAS APRŪPE</t>
  </si>
  <si>
    <t>Ambulatoro apmeklējumu skaits, t.sk.</t>
  </si>
  <si>
    <t>Valsts apmaksātie ambulatorie pakalpojumi</t>
  </si>
  <si>
    <t>Maksas ambulatorie pakalpojumi</t>
  </si>
  <si>
    <t>SOCIĀLĀ REHABILITĀCIJA</t>
  </si>
  <si>
    <t>SOCIĀlĀ APRŪPE</t>
  </si>
  <si>
    <t>PERSONĀLA RĀDĪTĀJI</t>
  </si>
  <si>
    <t>26500</t>
  </si>
  <si>
    <t>Citi personāla rādītāji</t>
  </si>
  <si>
    <t>26510</t>
  </si>
  <si>
    <t>Darbinieku mainība,%</t>
  </si>
  <si>
    <t>26520</t>
  </si>
  <si>
    <t>Vidējais nostrādāto virsstundu skaits uz vienu ārtsniecības personu, kas attiecīgā periodā veic virsstundu darbu</t>
  </si>
  <si>
    <t>26530</t>
  </si>
  <si>
    <t>26540</t>
  </si>
  <si>
    <t>Strādājošo 25-40 gadus veco ārstniecības personu īpatsvars no kopējā ārstniecības personu skaita,%</t>
  </si>
  <si>
    <t>PĀRĒJIE RĀDĪTĀJI</t>
  </si>
  <si>
    <t>28000</t>
  </si>
  <si>
    <t>MEDIKAMENTI UN MEDICĪNAS PRECES</t>
  </si>
  <si>
    <t>28100</t>
  </si>
  <si>
    <t xml:space="preserve">projektu vadītājiem, departamentu direktoriem un to vietniekiem, tehniskajam direktoram, kā arī sekojošām struktūrvienībām: komunikācijas, personāla vadības, finanšu, </t>
  </si>
  <si>
    <r>
      <t xml:space="preserve">Klienta dienas vidējā realizācijas maksa, </t>
    </r>
    <r>
      <rPr>
        <i/>
        <sz val="14"/>
        <rFont val="Times New Roman"/>
        <family val="1"/>
      </rPr>
      <t>euro</t>
    </r>
  </si>
  <si>
    <r>
      <t xml:space="preserve">Klienta dienas vidējā pašizmaksa, </t>
    </r>
    <r>
      <rPr>
        <i/>
        <sz val="14"/>
        <rFont val="Times New Roman"/>
        <family val="1"/>
      </rPr>
      <t>euro</t>
    </r>
  </si>
  <si>
    <r>
      <t xml:space="preserve">Vidējais sociālās aprūpes ilgums, </t>
    </r>
    <r>
      <rPr>
        <i/>
        <sz val="14"/>
        <rFont val="Times New Roman"/>
        <family val="1"/>
      </rPr>
      <t xml:space="preserve">dienas </t>
    </r>
  </si>
  <si>
    <r>
      <t>Ārsti</t>
    </r>
    <r>
      <rPr>
        <vertAlign val="superscript"/>
        <sz val="14"/>
        <rFont val="Times New Roman"/>
        <family val="1"/>
      </rPr>
      <t>3</t>
    </r>
  </si>
  <si>
    <r>
      <t>Ārstniecības un pacientu aprūpes personāls</t>
    </r>
    <r>
      <rPr>
        <vertAlign val="superscript"/>
        <sz val="14"/>
        <rFont val="Times New Roman"/>
        <family val="1"/>
      </rPr>
      <t>4</t>
    </r>
  </si>
  <si>
    <r>
      <t>Ārstniecības un pacientu aprūpes atbalsta personāls</t>
    </r>
    <r>
      <rPr>
        <vertAlign val="superscript"/>
        <sz val="14"/>
        <rFont val="Times New Roman"/>
        <family val="1"/>
      </rPr>
      <t>5</t>
    </r>
  </si>
  <si>
    <r>
      <t>Administrācija</t>
    </r>
    <r>
      <rPr>
        <vertAlign val="superscript"/>
        <sz val="14"/>
        <rFont val="Times New Roman"/>
        <family val="1"/>
      </rPr>
      <t>6</t>
    </r>
  </si>
  <si>
    <r>
      <t>Pārējais personāls (t.sk. sanitāri)</t>
    </r>
    <r>
      <rPr>
        <vertAlign val="superscript"/>
        <sz val="14"/>
        <rFont val="Times New Roman"/>
        <family val="1"/>
      </rPr>
      <t>7</t>
    </r>
  </si>
  <si>
    <r>
      <t xml:space="preserve">Darbinieku </t>
    </r>
    <r>
      <rPr>
        <b/>
        <u/>
        <sz val="14"/>
        <rFont val="Times New Roman"/>
        <family val="1"/>
      </rPr>
      <t xml:space="preserve">vidējie </t>
    </r>
    <r>
      <rPr>
        <b/>
        <sz val="14"/>
        <rFont val="Times New Roman"/>
        <family val="1"/>
      </rPr>
      <t xml:space="preserve">ienākumi mēnesī: </t>
    </r>
  </si>
  <si>
    <r>
      <t>Kopējā slimnīcas telpu platība  (m</t>
    </r>
    <r>
      <rPr>
        <vertAlign val="superscript"/>
        <sz val="14"/>
        <rFont val="Times New Roman"/>
        <family val="1"/>
      </rPr>
      <t>2</t>
    </r>
    <r>
      <rPr>
        <sz val="14"/>
        <rFont val="Times New Roman"/>
        <family val="1"/>
      </rPr>
      <t>), t.sk.:</t>
    </r>
  </si>
  <si>
    <r>
      <t>Ūdens patēriņš  ( m</t>
    </r>
    <r>
      <rPr>
        <vertAlign val="superscript"/>
        <sz val="14"/>
        <rFont val="Times New Roman"/>
        <family val="1"/>
      </rPr>
      <t>3</t>
    </r>
    <r>
      <rPr>
        <sz val="14"/>
        <rFont val="Times New Roman"/>
        <family val="1"/>
      </rPr>
      <t>)</t>
    </r>
  </si>
  <si>
    <r>
      <t>Kanalizācija  (m</t>
    </r>
    <r>
      <rPr>
        <vertAlign val="superscript"/>
        <sz val="14"/>
        <rFont val="Times New Roman"/>
        <family val="1"/>
      </rPr>
      <t>3</t>
    </r>
    <r>
      <rPr>
        <sz val="14"/>
        <rFont val="Times New Roman"/>
        <family val="1"/>
      </rPr>
      <t>)</t>
    </r>
  </si>
  <si>
    <r>
      <t>Stacionāro pakalpojumu sniegšanai izmantotie medikamenti uz gultas dienu</t>
    </r>
    <r>
      <rPr>
        <vertAlign val="superscript"/>
        <sz val="14"/>
        <rFont val="Times New Roman"/>
        <family val="1"/>
      </rPr>
      <t>8</t>
    </r>
  </si>
  <si>
    <r>
      <rPr>
        <vertAlign val="superscript"/>
        <sz val="14"/>
        <rFont val="Times New Roman"/>
        <family val="1"/>
      </rPr>
      <t>1</t>
    </r>
    <r>
      <rPr>
        <sz val="14"/>
        <rFont val="Times New Roman"/>
        <family val="1"/>
      </rPr>
      <t>- ar jēdzienu "vidējais" saprotams rādītāja vērtība katra mēneša pēdējā datumā un summu dalot ar mēnešu skaitu pārskata periodā</t>
    </r>
  </si>
  <si>
    <r>
      <rPr>
        <vertAlign val="superscript"/>
        <sz val="14"/>
        <rFont val="Times New Roman"/>
        <family val="1"/>
      </rPr>
      <t>2</t>
    </r>
    <r>
      <rPr>
        <sz val="14"/>
        <rFont val="Times New Roman"/>
        <family val="1"/>
      </rPr>
      <t>- hospitalizāciju skaits, bez fiktīvās izrakstīšanās (kustība 39) attiecīgā perioda ietvaros</t>
    </r>
  </si>
  <si>
    <r>
      <rPr>
        <vertAlign val="superscript"/>
        <sz val="14"/>
        <rFont val="Times New Roman"/>
        <family val="1"/>
      </rPr>
      <t>3</t>
    </r>
    <r>
      <rPr>
        <sz val="14"/>
        <rFont val="Times New Roman"/>
        <family val="1"/>
      </rPr>
      <t>- sertificēti  ārsti, zobārsti un funkcionālie speciālisti, reģistrēti ārsti, zobārsti un funkcionālie speciālisti, rezidenti</t>
    </r>
  </si>
  <si>
    <r>
      <rPr>
        <vertAlign val="superscript"/>
        <sz val="14"/>
        <rFont val="Times New Roman"/>
        <family val="1"/>
      </rPr>
      <t>4</t>
    </r>
    <r>
      <rPr>
        <sz val="14"/>
        <rFont val="Times New Roman"/>
        <family val="1"/>
      </rPr>
      <t>-sertificēti/reģistrēti ārsta palīgi, māsas, vecmātes, biomedicīnas laboranti, radiologa asistenti, radiogrāferi, sertificēti masieri, ergoterapeita asistenti, fizioterapeita asistenti, zobu higiēnisti, zobārstniecības māsas, podologi, zobu tehniķi</t>
    </r>
  </si>
  <si>
    <r>
      <rPr>
        <vertAlign val="superscript"/>
        <sz val="14"/>
        <rFont val="Times New Roman"/>
        <family val="1"/>
      </rPr>
      <t>5</t>
    </r>
    <r>
      <rPr>
        <sz val="14"/>
        <rFont val="Times New Roman"/>
        <family val="1"/>
      </rPr>
      <t>- māsu palīgi, zobārsta asistenti</t>
    </r>
  </si>
  <si>
    <r>
      <rPr>
        <vertAlign val="superscript"/>
        <sz val="14"/>
        <rFont val="Times New Roman"/>
        <family val="1"/>
      </rPr>
      <t>6</t>
    </r>
    <r>
      <rPr>
        <sz val="14"/>
        <rFont val="Times New Roman"/>
        <family val="1"/>
      </rPr>
      <t>- valde, padome, valdes/padomes birojs, ārstniecības personām, kuras tiešā veidā nav saistītas ar pacientu ārstēšanu -  klīniku vadītājiem, virsārstiem, profila virsārstiem, vecākajiem ārstiem, galvenajām māsām, ārstiem koordinatoriem u.c</t>
    </r>
  </si>
  <si>
    <r>
      <rPr>
        <vertAlign val="superscript"/>
        <sz val="14"/>
        <rFont val="Times New Roman"/>
        <family val="1"/>
      </rPr>
      <t>7</t>
    </r>
    <r>
      <rPr>
        <sz val="14"/>
        <rFont val="Times New Roman"/>
        <family val="1"/>
      </rPr>
      <t>- Saimnieciskais personāls, ārstniecības un aprūpes procesu atbalsta personāls (t.sk. sanitāri)</t>
    </r>
  </si>
  <si>
    <r>
      <rPr>
        <vertAlign val="superscript"/>
        <sz val="14"/>
        <rFont val="Times New Roman"/>
        <family val="1"/>
      </rPr>
      <t>8</t>
    </r>
    <r>
      <rPr>
        <sz val="14"/>
        <rFont val="Times New Roman"/>
        <family val="1"/>
      </rPr>
      <t>- Medikamenti, medicīnas preces, implanti, sterilizācijas materiāli, medicīnas instrumenti, laboratorijas preces stacionāro pakalpojumu nodrošināšanai (bez bezmaksas medikamnetiem un med. Precēm)/ Stacionāra gultu dienu skaits</t>
    </r>
  </si>
  <si>
    <t>Kopējais stacionēto pacientu īpatsvars  no kopējā gadījumu skaita uzņemšanas nodaļā, % (23212/23110)</t>
  </si>
  <si>
    <t>Vidējais gultu noslogojums diennakts stacionārā, %</t>
  </si>
  <si>
    <t>Vidējais gultu noslogojums dienas stacionārā, %</t>
  </si>
  <si>
    <t>no ESF (Eiropas Struktūrfondi) līdzekļiem (sadalījumā pa projektiem), t.sk.</t>
  </si>
  <si>
    <t>no VGA (Valsts galvotais aizdevums) līdzekļiem (sadalījumā pa projektiem), t.sk.</t>
  </si>
  <si>
    <t>no Valsts budžeta līdzekļiem (sadalījumā pa pasākumiem/projektiem), t.sk.</t>
  </si>
  <si>
    <t>no pašu līdzekļiem (sadalījumā pa pasākumiem/projektiem), t.sk.</t>
  </si>
  <si>
    <t>no citiem līdzekļiem (sadalījumā pa pasākumiem/projektiem), t.sk.</t>
  </si>
  <si>
    <t>no ESF (Eiropas Struktūrfondi) līdzekļiem  (sadalījumā pa projektiem), t.sk.</t>
  </si>
  <si>
    <t>1 Aizpildot naudas plūsmas plānu pamatlīdzekļiem un nemateriāliem ieguldījumiem līdzīgie pamatlīdzekļi  pēc nomenklatūras  jāapvieno grupās, norādot iepērkamo pamatlīdzekļu daudzumu</t>
  </si>
  <si>
    <t>Ārstniecības personu īpatsvars, kas veic virsstundu darbu, no kopējā ārtsniecības personu skaita, %</t>
  </si>
  <si>
    <r>
      <rPr>
        <vertAlign val="superscript"/>
        <sz val="14"/>
        <rFont val="Times New Roman"/>
        <family val="1"/>
      </rPr>
      <t xml:space="preserve">9 </t>
    </r>
    <r>
      <rPr>
        <sz val="14"/>
        <rFont val="Times New Roman"/>
        <family val="1"/>
      </rPr>
      <t>- rehospitalizāciju skaitā ieskaita pacientus, kas izrakstīti uz mājām (izrakstīšanās kustība 31) un kas atkārtoti hospitalizēti tajā pašā vai nākamajā dienā, izņemot pacientus, kuru nākamā hospitalizācija ir aprūpe vai rehabilitācija</t>
    </r>
  </si>
  <si>
    <r>
      <rPr>
        <vertAlign val="superscript"/>
        <sz val="14"/>
        <rFont val="Times New Roman"/>
        <family val="1"/>
      </rPr>
      <t>10</t>
    </r>
    <r>
      <rPr>
        <sz val="11"/>
        <color theme="1"/>
        <rFont val="Calibri"/>
        <family val="2"/>
        <charset val="186"/>
        <scheme val="minor"/>
      </rPr>
      <t xml:space="preserve"> </t>
    </r>
    <r>
      <rPr>
        <sz val="14"/>
        <rFont val="Times New Roman"/>
        <family val="1"/>
      </rPr>
      <t>- rehospitalizāciju skaitā ieskaita pacientus, kas atkārtoti hospitalizēti tajā pašā vai nākamajā dienā, kuru nākamā hospitalizācija ir aprūpe vai rehabilitācija (atbilstoši NVD mājas lapā publicētā</t>
    </r>
  </si>
  <si>
    <t>"Pārskats par uz mājām izrakstītiem pacientiem, kas atkārtoti hospitalizēti tajā pašā vai nākamajā dienā" izslēgšanas kritērijos GPF kodam</t>
  </si>
  <si>
    <r>
      <rPr>
        <vertAlign val="superscript"/>
        <sz val="14"/>
        <rFont val="Times New Roman"/>
        <family val="1"/>
      </rPr>
      <t>11</t>
    </r>
    <r>
      <rPr>
        <sz val="14"/>
        <rFont val="Times New Roman"/>
        <family val="1"/>
      </rPr>
      <t>- atbilstoši NVD mājas lapā publocētajam "Valsts apmaksājamo manipulāciju un to apmaksas nosacījumu saraksts" Lielo ķirurģisko operāciju klasifikatoram (10.kolonna)</t>
    </r>
  </si>
  <si>
    <t>27200</t>
  </si>
  <si>
    <t>27110</t>
  </si>
  <si>
    <t>27300</t>
  </si>
  <si>
    <t>VEIDLAPAS AIZPILDĪŠANAS METODISKIE NORĀDĪJUMI</t>
  </si>
  <si>
    <t>N.p.k.</t>
  </si>
  <si>
    <t>t.sk. summa,
 kurai iestājies
 maks.termiņš</t>
  </si>
  <si>
    <t>Mazāk par 30 dienām kavētie maksājumi</t>
  </si>
  <si>
    <t>30 un vairāk dienas kavētie maksājumi</t>
  </si>
  <si>
    <t>Paskaidrojums</t>
  </si>
  <si>
    <t>1.</t>
  </si>
  <si>
    <t>1.2.</t>
  </si>
  <si>
    <t>1.2.1.</t>
  </si>
  <si>
    <t>…</t>
  </si>
  <si>
    <t>1.2.2.</t>
  </si>
  <si>
    <t>utt.</t>
  </si>
  <si>
    <t>1.3.</t>
  </si>
  <si>
    <t>1.3.1.</t>
  </si>
  <si>
    <t>1.3.2.</t>
  </si>
  <si>
    <t>1.4.</t>
  </si>
  <si>
    <t>1.4.1.</t>
  </si>
  <si>
    <t>1.4.2.</t>
  </si>
  <si>
    <t>1.5.</t>
  </si>
  <si>
    <t>1.5.1.</t>
  </si>
  <si>
    <t>1.5.2.</t>
  </si>
  <si>
    <t>1.6.</t>
  </si>
  <si>
    <t>1.6.1.</t>
  </si>
  <si>
    <t>1.6.2.</t>
  </si>
  <si>
    <t>2.</t>
  </si>
  <si>
    <t>2.1.</t>
  </si>
  <si>
    <t>2.1.1.</t>
  </si>
  <si>
    <t>2.1.2.</t>
  </si>
  <si>
    <t>2.2.</t>
  </si>
  <si>
    <t>2.2.1.</t>
  </si>
  <si>
    <t>2.2.2.</t>
  </si>
  <si>
    <t>2.3.</t>
  </si>
  <si>
    <t>2.3.1.</t>
  </si>
  <si>
    <t>2.3.2.</t>
  </si>
  <si>
    <t>2.4.</t>
  </si>
  <si>
    <t>2.4.1.</t>
  </si>
  <si>
    <t>2.5.</t>
  </si>
  <si>
    <t>2.5.1.</t>
  </si>
  <si>
    <t>2.5.2.</t>
  </si>
  <si>
    <t>2.6.</t>
  </si>
  <si>
    <t>2.6.1.</t>
  </si>
  <si>
    <t>2.6.2.</t>
  </si>
  <si>
    <t>2.7.</t>
  </si>
  <si>
    <t>2.7.1.</t>
  </si>
  <si>
    <t>2.7.2.</t>
  </si>
  <si>
    <t>2.8.</t>
  </si>
  <si>
    <t>2.8.1.</t>
  </si>
  <si>
    <t>2.8.2.</t>
  </si>
  <si>
    <t>Pārējie debitori</t>
  </si>
  <si>
    <t xml:space="preserve">Pozīcijas nosaukums   </t>
  </si>
  <si>
    <t>1.1.</t>
  </si>
  <si>
    <t>3.</t>
  </si>
  <si>
    <t>4.</t>
  </si>
  <si>
    <t>4.1.</t>
  </si>
  <si>
    <t>4.2.</t>
  </si>
  <si>
    <t>5.</t>
  </si>
  <si>
    <t>5.1.</t>
  </si>
  <si>
    <t>5.2.</t>
  </si>
  <si>
    <t>6.</t>
  </si>
  <si>
    <t xml:space="preserve">  Skaidrojumi par novirzēm ir jāsniedz  sekojošiem budžeta ieņēmumu un izdevumu kodiem: 00110, 00120, 00130, 00140, 00150, 0020, 0030, 0040, 0050, 0060, 0070, 0080, 1110, 1140, 1150, 1170, 1210, 1220, 2110, 2120, 2210, 2220, 2230, 2240, 2250, 2260, 2270, 2280, 2310, 2320, 2330, 2341, 2343, 2344, 2350, 2360, 2370, 2380, 2390, 2510, 2520, 2800, 4100, 4200, 4300, 5100, 5200, 0100, 8000.</t>
  </si>
  <si>
    <t xml:space="preserve">  Skaidrojumi par novirzēm ir jāsniedz  sekojošiem Bilances posteņu kodiem: 45100, 45200, 45320, 46000, 47100, 47200, 49100, 49200, 49300, 50100, 50200, 50300.</t>
  </si>
  <si>
    <r>
      <rPr>
        <vertAlign val="superscript"/>
        <sz val="14"/>
        <rFont val="Times New Roman"/>
        <family val="1"/>
      </rPr>
      <t xml:space="preserve">2 </t>
    </r>
    <r>
      <rPr>
        <sz val="14"/>
        <rFont val="Times New Roman"/>
        <family val="1"/>
      </rPr>
      <t>Detalizēti skaidrojumi par faktisko Bilances posteņu noviržu iemesliem periodā no n gada sākuma līdz pārskata ceturkšņa beigām, kā arī par to izmaiņām, salīdzinot ar n-1 gada attiecīgo periodu, gadījumos, ja novirze faktisko Bilances posteņos ir virs 5%.</t>
    </r>
  </si>
  <si>
    <r>
      <t>Skaidrojumi</t>
    </r>
    <r>
      <rPr>
        <vertAlign val="superscript"/>
        <sz val="14"/>
        <rFont val="Times New Roman"/>
        <family val="1"/>
      </rPr>
      <t>12</t>
    </r>
  </si>
  <si>
    <r>
      <rPr>
        <vertAlign val="superscript"/>
        <sz val="14"/>
        <rFont val="Times New Roman"/>
        <family val="1"/>
      </rPr>
      <t xml:space="preserve">12 </t>
    </r>
    <r>
      <rPr>
        <sz val="14"/>
        <rFont val="Times New Roman"/>
        <family val="1"/>
      </rPr>
      <t xml:space="preserve">Detalizēti skaidrojumi par Naturālo rādītāju noviržu iemesliem periodā no </t>
    </r>
    <r>
      <rPr>
        <i/>
        <sz val="14"/>
        <rFont val="Times New Roman"/>
        <family val="1"/>
      </rPr>
      <t>n</t>
    </r>
    <r>
      <rPr>
        <sz val="14"/>
        <rFont val="Times New Roman"/>
        <family val="1"/>
      </rPr>
      <t xml:space="preserve"> gada sākuma līdz pārskata ceturkšņa beigām, kā arī par to izmaiņām, salīdzinot ar </t>
    </r>
    <r>
      <rPr>
        <i/>
        <sz val="14"/>
        <rFont val="Times New Roman"/>
        <family val="1"/>
      </rPr>
      <t>n-1</t>
    </r>
    <r>
      <rPr>
        <sz val="14"/>
        <rFont val="Times New Roman"/>
        <family val="1"/>
      </rPr>
      <t xml:space="preserve"> gada attiecīgo periodu, gadījumos, ja novirze Naturālajos rādītājos ir virs 10%.</t>
    </r>
  </si>
  <si>
    <t>Instrumentu piegāde spinālajām operācijām</t>
  </si>
  <si>
    <t>No Veselības norēķinu centra saņemtā investīciju nauda</t>
  </si>
  <si>
    <t xml:space="preserve">No ERAF saņemtā investīcija  (3DP/3.1.5.3.1/11/IPIA/VEC/013) </t>
  </si>
  <si>
    <t xml:space="preserve">No ERAF saņemtā investīcija  (3DP/3.1.5.3.1/10/IPIA/VEC/017) </t>
  </si>
  <si>
    <r>
      <t>No ERAF saņemtā investīcija  (9.3.2.0/17/I/002)</t>
    </r>
    <r>
      <rPr>
        <vertAlign val="superscript"/>
        <sz val="10"/>
        <rFont val="Times New Roman"/>
        <family val="1"/>
      </rPr>
      <t xml:space="preserve"> </t>
    </r>
  </si>
  <si>
    <t xml:space="preserve">No NVD projekta līguma Nr. 1936 </t>
  </si>
  <si>
    <t xml:space="preserve">No NVD projekta līguma Nr. 2550 </t>
  </si>
  <si>
    <t xml:space="preserve">No NVD projekta līguma Nr. 1874 </t>
  </si>
  <si>
    <r>
      <t>No pircējiem saņemtie avansi</t>
    </r>
    <r>
      <rPr>
        <i/>
        <sz val="10"/>
        <rFont val="Times New Roman"/>
        <family val="1"/>
      </rPr>
      <t xml:space="preserve"> (jānorāda 5 lielākos kreditorus, visus kavētos maksājumus un pārējo kreditoru kopsummu un kreditoru skaitu)</t>
    </r>
  </si>
  <si>
    <r>
      <t xml:space="preserve">Parādi piegādātājiem un darbuzņēmējiem </t>
    </r>
    <r>
      <rPr>
        <i/>
        <sz val="10"/>
        <rFont val="Times New Roman"/>
        <family val="1"/>
      </rPr>
      <t>(jānorāda 5 lielākos kreditorus, visus kavētos maksājumus un pārējo kreditoru kopsummu un kreditoru skaitu)</t>
    </r>
  </si>
  <si>
    <t>Johonson AB Latvijas filiāle SIA</t>
  </si>
  <si>
    <t>Sociālās nodrošināšanas iemaksas</t>
  </si>
  <si>
    <t>Iedzīvotāju ienākuma nodoklis</t>
  </si>
  <si>
    <t>Pievienotās vērtības nodoklis</t>
  </si>
  <si>
    <t>Nekustamā īpašuma nodoklis</t>
  </si>
  <si>
    <t>Dabas resursu nodoklis</t>
  </si>
  <si>
    <t>Uzņēmējdarbības riska nodeva</t>
  </si>
  <si>
    <r>
      <t xml:space="preserve">Pārējie kreditori </t>
    </r>
    <r>
      <rPr>
        <i/>
        <sz val="10"/>
        <rFont val="Times New Roman"/>
        <family val="1"/>
      </rPr>
      <t>(jānorāda 5 lielākos kreditorus, visus kavētos maksājumus un pārējo kreditoru kopsummu un kreditoru skaitu)</t>
    </r>
  </si>
  <si>
    <t>Neizmaksātās darba algas</t>
  </si>
  <si>
    <t xml:space="preserve">Pārējie kreditori   - 4 gb                                                  </t>
  </si>
  <si>
    <t xml:space="preserve">Darbinieku neizmantotie atvaļinājumi par pārskata gadu </t>
  </si>
  <si>
    <t>Nacionālais veselības dienests</t>
  </si>
  <si>
    <t>Latvijas Universitāte</t>
  </si>
  <si>
    <t>Rīgas Stradiņa universitāte</t>
  </si>
  <si>
    <t>DPA SIA</t>
  </si>
  <si>
    <t xml:space="preserve"> </t>
  </si>
  <si>
    <t>LAGRON SIA</t>
  </si>
  <si>
    <t>Pircēju,pasūtītāju parādi (jānorāda 5 lielākos debitorus, visus kavētos maksājumus, pacientu parādu kopsummu un pārējo debitoru kopsummu un debitoru skaitu)</t>
  </si>
  <si>
    <t>3.1.</t>
  </si>
  <si>
    <t>Drošības naudas un maiņas naudas kasēs</t>
  </si>
  <si>
    <t>3.2.</t>
  </si>
  <si>
    <t>Nākamo periodu izmaksas (jānorāda 5 lielākos debitorus un pārējo debitoru kopsummu un debitoru skaitu)</t>
  </si>
  <si>
    <t>Uzkrātie ieņēmumi (jānorāda 5 lielākos debitorus un pārējo debitoru kopsummu un debitoru skaitu)</t>
  </si>
  <si>
    <t>Pacientu skaits periodā, kuriem sniegta neatliekamā medicīniskā palīdzība un tie novirzīti turpmākai ambulatorai ārstēšanai</t>
  </si>
  <si>
    <t>Pacientu skaits periodā, kuri stacionēti (bez observācijas)</t>
  </si>
  <si>
    <t>Pacientu skaits periodā, kuriem nodrošināts observācijas pakalpojums, t.sk.</t>
  </si>
  <si>
    <t>Vidējais1 observācijas gultu skaits</t>
  </si>
  <si>
    <t>Kopējais hospitalizācijas2 gadījumu skaits, t.sk.</t>
  </si>
  <si>
    <t>Valsts apmaksāto hospitalizācijas2 gadījumu skaits</t>
  </si>
  <si>
    <t>Plānveida hospitalizācijas2 gadījumu skaits, t.sk.:</t>
  </si>
  <si>
    <t>Valsts apmaksāto plānveida hospitalizācijas2 gadījumu skaits</t>
  </si>
  <si>
    <t>Neatliekamo hospitalizāciju2 gadījumu skaits, t.sk.:</t>
  </si>
  <si>
    <t>Valsts apmaksāto neatliekamo hospitalizācijas2 gadījumu skaits</t>
  </si>
  <si>
    <t>Atkārtoti hospitalizēto pacientu skaits, neieskaitot pacientus, kuriem nākamā hospitalizācija ir aprūpe vai rehabilitācija9</t>
  </si>
  <si>
    <t>Atkārtoti hospitalizēto pacientu skaits, kuriem nākamā hospitalizācija ir aprūpe,  rehabilitācija vai nākamais ārstēšanas posms10</t>
  </si>
  <si>
    <t>Ambultatori izdarīto operāciju skaits11, t.sk.:</t>
  </si>
  <si>
    <t>Stacionārie medicīniskie pakalpojumi</t>
  </si>
  <si>
    <t>Nomas pakalpojumim un rezidentu apmācība</t>
  </si>
  <si>
    <t>Licenču noma</t>
  </si>
  <si>
    <t>Opticom SIA</t>
  </si>
  <si>
    <t>Programmatūras uzturēšana un apkalpošana</t>
  </si>
  <si>
    <r>
      <t>Budžeta pozīcijas</t>
    </r>
    <r>
      <rPr>
        <vertAlign val="superscript"/>
        <sz val="12"/>
        <rFont val="Times New Roman"/>
        <family val="1"/>
      </rPr>
      <t>1</t>
    </r>
  </si>
  <si>
    <r>
      <rPr>
        <vertAlign val="superscript"/>
        <sz val="12"/>
        <rFont val="Times New Roman"/>
        <family val="1"/>
      </rPr>
      <t>1</t>
    </r>
    <r>
      <rPr>
        <sz val="12"/>
        <rFont val="Times New Roman"/>
        <family val="1"/>
      </rPr>
      <t xml:space="preserve"> Budžeta kodu klasifikācija sadaļā II " IZDEVUMI SAIMNIECISKĀS DARBĪBAS NODROŠINĀŠANAI KOPĀ" atbilst Ministru Kabineta noteikumiem 1031 Noteikumi par budžetu izdevumu klasifikāciju atbilstoši ekonomiskajām kategorijām" un jāpiemēro šo MK noteikumu skaidrojumi atbilstošiem EKK</t>
    </r>
  </si>
  <si>
    <r>
      <rPr>
        <vertAlign val="superscript"/>
        <sz val="12"/>
        <rFont val="Times New Roman"/>
        <family val="1"/>
      </rPr>
      <t xml:space="preserve">2 </t>
    </r>
    <r>
      <rPr>
        <sz val="12"/>
        <rFont val="Times New Roman"/>
        <family val="1"/>
      </rPr>
      <t xml:space="preserve">Detalizēti skaidrojumi par faktisko budžeta  ieņēmumu un izdevumu noviržu iemesliem periodā no </t>
    </r>
    <r>
      <rPr>
        <i/>
        <sz val="12"/>
        <rFont val="Times New Roman"/>
        <family val="1"/>
      </rPr>
      <t>n</t>
    </r>
    <r>
      <rPr>
        <sz val="12"/>
        <rFont val="Times New Roman"/>
        <family val="1"/>
      </rPr>
      <t xml:space="preserve"> gada sākuma līdz pārskata ceturkšņa beigām, kā arī par to izmaiņām, salīdzinot ar </t>
    </r>
    <r>
      <rPr>
        <i/>
        <sz val="12"/>
        <rFont val="Times New Roman"/>
        <family val="1"/>
      </rPr>
      <t>n-1</t>
    </r>
    <r>
      <rPr>
        <sz val="12"/>
        <rFont val="Times New Roman"/>
        <family val="1"/>
      </rPr>
      <t xml:space="preserve"> gada attiecīgo periodu, gadījumos, ja novirze faktisko budžeta ieņēmumu un izdevumu pozīcijās ir virs 5%.</t>
    </r>
  </si>
  <si>
    <t>Izpilde atkarīga no pacientu sarežģītības pakāpes</t>
  </si>
  <si>
    <t>Metāla medicīnisko mēbeļu piegāde operāciju blokiem</t>
  </si>
  <si>
    <t>Desktop datori</t>
  </si>
  <si>
    <t>Monitori</t>
  </si>
  <si>
    <t>Maksas operācijai</t>
  </si>
  <si>
    <t>Drošības nauda</t>
  </si>
  <si>
    <t>Printeri</t>
  </si>
  <si>
    <t>Parādi piegādātājiem un darbuzņēmējiem (jānorāda 5 lielākos kreditorus, visus kavētos maksājumus un pārējo kreditoru kopsummu un kreditoru skaitu)</t>
  </si>
  <si>
    <t>Garantijas summa 5% projektiem</t>
  </si>
  <si>
    <t>Guliver Construction, PS</t>
  </si>
  <si>
    <t>Latvijas Pasts, VENDEN SIA</t>
  </si>
  <si>
    <t>Maiņas naudas kasēs</t>
  </si>
  <si>
    <t>Covid 19 ietekme.</t>
  </si>
  <si>
    <t>stacionārai palīdzībai</t>
  </si>
  <si>
    <t>No NVD projekta līguma Nr. 01-11.4/110</t>
  </si>
  <si>
    <t>Gjensidige, ADB Latvijas filiāle</t>
  </si>
  <si>
    <t>Apdrošināšanas izmaksas nekustamajam īpašumam</t>
  </si>
  <si>
    <r>
      <t>Skaidrojumi</t>
    </r>
    <r>
      <rPr>
        <vertAlign val="superscript"/>
        <sz val="14"/>
        <rFont val="Times New Roman"/>
        <family val="1"/>
      </rPr>
      <t>2</t>
    </r>
  </si>
  <si>
    <r>
      <t>Skaidrojumi</t>
    </r>
    <r>
      <rPr>
        <vertAlign val="superscript"/>
        <sz val="12"/>
        <rFont val="Times New Roman"/>
        <family val="1"/>
      </rPr>
      <t>2</t>
    </r>
  </si>
  <si>
    <t>2021. gada izpilde</t>
  </si>
  <si>
    <t>2022.gada
 plāns</t>
  </si>
  <si>
    <t>Novirze no 2022. gada pārskata perioda plāna</t>
  </si>
  <si>
    <t>Novirze no 2022. gada pārskata perioda plāna, %</t>
  </si>
  <si>
    <t>Izmaiņas, salīdzinot ar 2021. gada attiecīgā perioda izpildi</t>
  </si>
  <si>
    <t>Izmaiņas, salīdzinot ar 2021. gada attiecīgā perioda izpildi, %</t>
  </si>
  <si>
    <t>2021.gada izpilde</t>
  </si>
  <si>
    <t>2022.gada
 12 mēn. plāns</t>
  </si>
  <si>
    <t>Novirze no 2022. gada pārskata perioda plāna, euro</t>
  </si>
  <si>
    <t>Izmaiņas, salīdzinot ar 2021. gada attiecīgā perioda izpildi, euro</t>
  </si>
  <si>
    <t>Palielinājies stacionāro pacientu skaits</t>
  </si>
  <si>
    <t>Maksas pakalpojumi tika sniegti mazāk nekā plānots.Palielinājušās nomniekiem izrakstīto rēķinu summas, ņemot vērā tirgus cenas elektrībai, apkurei, ūdenim, kanalizācijai, atkritumu izvešanai.</t>
  </si>
  <si>
    <t>2021.gada
 izpilde</t>
  </si>
  <si>
    <t>2022. gadā tika noslēgti jauni sadarbības līgumi ar Latvijas universitāti un Rīgas stradiņu universitāti, kas paredz viena rezidenta finansējumu 2493.67 eur  (pirmais, otrais kurss) līdzšinējo 2401.96 eur vietā  un 2711.31 eur (pārējo kursu studentiem) līdzšinējo 2610.42 eur vietā.</t>
  </si>
  <si>
    <t>Palielinājušies investīciju ieņēmumi</t>
  </si>
  <si>
    <t>Maksas pakalpojumi tika sniegti mazāk kā plānots. Palielinājušies ieņēmumi nomniekiem (komunālo pakalpojumu cenu pieaugums).</t>
  </si>
  <si>
    <t>Operāciju galdu pufu piegāde</t>
  </si>
  <si>
    <t>Aprūpes inventāra un medicīnisko mēbeļu piegāde</t>
  </si>
  <si>
    <t>Spēka un pneimatisko instrumentu komplektācijas daļu nomaiņa un papildināšana</t>
  </si>
  <si>
    <t>Medicīnisko ierīču piegāde patohistoloģijas laboratorijai</t>
  </si>
  <si>
    <t>Operāciju zāles medicīniskās aparatūras piegāde</t>
  </si>
  <si>
    <t>Artroskopisko instrumentu un aparatūras piegāde</t>
  </si>
  <si>
    <t>Mobilās ķirurģiskās C-loka iekārtas piegāde</t>
  </si>
  <si>
    <t>Rentgena aizsargtērpu piegāde</t>
  </si>
  <si>
    <t>Videolaringoskopa piegāde</t>
  </si>
  <si>
    <t>Universiālo akumulatora tipa spēka instrumentu komplektu ar savienojumiem piegāde</t>
  </si>
  <si>
    <t>Apavu mazgājamās mašīnas piegāde</t>
  </si>
  <si>
    <t>Funkcionālo pacientu gultu ar galdiņiem piegāde</t>
  </si>
  <si>
    <t>Gaisa dezinfekcijas un attīrīšanas iekārtu piegāde</t>
  </si>
  <si>
    <t>Kondicionieru piegāde un uzstādīšana</t>
  </si>
  <si>
    <t>Biroja mēbeļu piegāde</t>
  </si>
  <si>
    <t xml:space="preserve">Rindu sistēmas aprīkojums Uzņemšanas nodaļā </t>
  </si>
  <si>
    <t>Rindu sistēmas aprīkojums Ambulatorā nod</t>
  </si>
  <si>
    <t>Informatīvie displeji Ambulatorajā nodaļā</t>
  </si>
  <si>
    <t xml:space="preserve">Apskaņošanas sistēma Uzņermšanas nodaļā </t>
  </si>
  <si>
    <t>Yealink telefona centrāle</t>
  </si>
  <si>
    <t>Datori (All in one)</t>
  </si>
  <si>
    <t>Laptops (IT nodaļas vajadzībām)</t>
  </si>
  <si>
    <t>Jauns karšu printeris Personāla daļai</t>
  </si>
  <si>
    <t>Procesori</t>
  </si>
  <si>
    <t>Skaidrojumi12</t>
  </si>
  <si>
    <r>
      <t xml:space="preserve">Ieguldījumu pozīcija </t>
    </r>
    <r>
      <rPr>
        <vertAlign val="superscript"/>
        <sz val="12"/>
        <rFont val="Times New Roman"/>
        <family val="1"/>
      </rPr>
      <t>1</t>
    </r>
  </si>
  <si>
    <r>
      <t xml:space="preserve">Attīstības pasākumi un programmas </t>
    </r>
    <r>
      <rPr>
        <vertAlign val="superscript"/>
        <sz val="12"/>
        <rFont val="Times New Roman"/>
        <family val="1"/>
      </rPr>
      <t xml:space="preserve">2 </t>
    </r>
    <r>
      <rPr>
        <sz val="12"/>
        <rFont val="Times New Roman"/>
        <family val="1"/>
      </rPr>
      <t xml:space="preserve"> t.sk.:</t>
    </r>
  </si>
  <si>
    <r>
      <t xml:space="preserve">Datorprogrammas </t>
    </r>
    <r>
      <rPr>
        <vertAlign val="superscript"/>
        <sz val="12"/>
        <rFont val="Times New Roman"/>
        <family val="1"/>
      </rPr>
      <t xml:space="preserve">3 </t>
    </r>
    <r>
      <rPr>
        <sz val="12"/>
        <rFont val="Times New Roman"/>
        <family val="1"/>
      </rPr>
      <t xml:space="preserve"> t.sk.:</t>
    </r>
  </si>
  <si>
    <r>
      <t xml:space="preserve">Pārējie nemateriālie ieguldījumi </t>
    </r>
    <r>
      <rPr>
        <vertAlign val="superscript"/>
        <sz val="12"/>
        <rFont val="Times New Roman"/>
        <family val="1"/>
      </rPr>
      <t>4</t>
    </r>
    <r>
      <rPr>
        <sz val="12"/>
        <rFont val="Times New Roman"/>
        <family val="1"/>
      </rPr>
      <t xml:space="preserve">  t.sk.:</t>
    </r>
  </si>
  <si>
    <r>
      <t xml:space="preserve">Nedzīvojamās ēkas </t>
    </r>
    <r>
      <rPr>
        <vertAlign val="superscript"/>
        <sz val="12"/>
        <rFont val="Times New Roman"/>
        <family val="1"/>
      </rPr>
      <t>5</t>
    </r>
  </si>
  <si>
    <r>
      <t xml:space="preserve">Zeme zem ēkām un būvēm </t>
    </r>
    <r>
      <rPr>
        <vertAlign val="superscript"/>
        <sz val="12"/>
        <rFont val="Times New Roman"/>
        <family val="1"/>
      </rPr>
      <t>6</t>
    </r>
  </si>
  <si>
    <r>
      <t xml:space="preserve">Pārējā zeme </t>
    </r>
    <r>
      <rPr>
        <vertAlign val="superscript"/>
        <sz val="12"/>
        <rFont val="Times New Roman"/>
        <family val="1"/>
      </rPr>
      <t>7</t>
    </r>
  </si>
  <si>
    <r>
      <t xml:space="preserve">Celtnes un būves </t>
    </r>
    <r>
      <rPr>
        <vertAlign val="superscript"/>
        <sz val="12"/>
        <rFont val="Times New Roman"/>
        <family val="1"/>
      </rPr>
      <t>8</t>
    </r>
  </si>
  <si>
    <r>
      <t xml:space="preserve">Pārējais nekustamais īpašums </t>
    </r>
    <r>
      <rPr>
        <vertAlign val="superscript"/>
        <sz val="12"/>
        <rFont val="Times New Roman"/>
        <family val="1"/>
      </rPr>
      <t>9</t>
    </r>
  </si>
  <si>
    <r>
      <t xml:space="preserve">Nepabeigtā būvniecība </t>
    </r>
    <r>
      <rPr>
        <vertAlign val="superscript"/>
        <sz val="12"/>
        <rFont val="Times New Roman"/>
        <family val="1"/>
      </rPr>
      <t>10</t>
    </r>
  </si>
  <si>
    <r>
      <t xml:space="preserve">Tehnoloģiskās iekārtas un mašīnas </t>
    </r>
    <r>
      <rPr>
        <vertAlign val="superscript"/>
        <sz val="12"/>
        <rFont val="Times New Roman"/>
        <family val="1"/>
      </rPr>
      <t xml:space="preserve">11 </t>
    </r>
    <r>
      <rPr>
        <sz val="12"/>
        <rFont val="Times New Roman"/>
        <family val="1"/>
      </rPr>
      <t xml:space="preserve"> t.sk.:</t>
    </r>
  </si>
  <si>
    <r>
      <t xml:space="preserve">Transportlīdzekļi </t>
    </r>
    <r>
      <rPr>
        <vertAlign val="superscript"/>
        <sz val="12"/>
        <rFont val="Times New Roman"/>
        <family val="1"/>
      </rPr>
      <t xml:space="preserve">12 </t>
    </r>
    <r>
      <rPr>
        <sz val="12"/>
        <rFont val="Times New Roman"/>
        <family val="1"/>
      </rPr>
      <t xml:space="preserve"> t.sk.:</t>
    </r>
  </si>
  <si>
    <r>
      <t xml:space="preserve">Saimniecības pamatlīdzekļi </t>
    </r>
    <r>
      <rPr>
        <vertAlign val="superscript"/>
        <sz val="12"/>
        <rFont val="Times New Roman"/>
        <family val="1"/>
      </rPr>
      <t>13</t>
    </r>
    <r>
      <rPr>
        <sz val="12"/>
        <rFont val="Times New Roman"/>
        <family val="1"/>
      </rPr>
      <t xml:space="preserve">  t.sk.:</t>
    </r>
  </si>
  <si>
    <r>
      <t xml:space="preserve">Datortehnika, sakaru un cita biroja tehnika </t>
    </r>
    <r>
      <rPr>
        <vertAlign val="superscript"/>
        <sz val="12"/>
        <rFont val="Times New Roman"/>
        <family val="1"/>
      </rPr>
      <t>14</t>
    </r>
    <r>
      <rPr>
        <sz val="12"/>
        <rFont val="Times New Roman"/>
        <family val="1"/>
      </rPr>
      <t xml:space="preserve"> t.sk.:</t>
    </r>
  </si>
  <si>
    <t>Pieaudzis  pacientu skaits ar akūtām traumām, kas novirzīti turpmākai ambulatorai ārstēšanai</t>
  </si>
  <si>
    <t>2021.g. samazināta pacientu plūsma COVID19 ārkārtas situācijas dēļ</t>
  </si>
  <si>
    <t>2021.g bija ievērojami samazināts dienas stacionārā veikto operāciju skaits COVID19 ārkārtas situācijas dēļ, lai nodrošinātu stacionāro pakalpojumu sniegšanu</t>
  </si>
  <si>
    <t>Baltrade Oy</t>
  </si>
  <si>
    <t>2021.gadu esam noslēguši ar zaudējumiem 221915 eiro, kas ietekmēja iepriekšējo gadu nesadalītās peļņas daļu.</t>
  </si>
  <si>
    <t>No 2022.g. atbrīvotajās kategorijās iekļautas personas ar II grupas invaliditāti, līdz ar ko pieaudzis finanšu apjoms šajā pozīcijā, bet plāns veidots balstoties uz līgumā ar NVD paredzēto finansējumu, kas noteikts 2021.g. līmenī</t>
  </si>
  <si>
    <t>No 2022.g. atbrīvotajās kategorijās iekļautas personas ar II grupas invaliditāti, līdz ar ko pieaudzis finanšu apjoms šajā pozīcijā</t>
  </si>
  <si>
    <t>2021.g. bija ievērojami samazināts ambulatoro pakalpojumu apjoms un dienas stacionāra pakalpojumu apjoms, lai nodrošinātu stacionāro pakalpojumu sniegšanu COVID 19 ārkārtas situācijas dēļ</t>
  </si>
  <si>
    <t>2022. gadā tika noslēgti jauni sadarbības līgumi ar Latvijas universitāti un Rīgas Stradiņu universitāti, kas paredz viena rezidenta finansējumu 2493.67 eur  (pirmais, otrais kurss) līdzšinējo 2401.96 eur vietā  un 2711.31 eur (pārējo kursu studentiem) līdzšinējo 2610.42 eur vietā.</t>
  </si>
  <si>
    <t>Finansējuma apguve atkarīga no pacientu, kuriem tiek kompensēta pacientu iemaksa, īpatsvara</t>
  </si>
  <si>
    <t>SMARTHUB, Belimed iekārtu ciklu parametru uzskaites programma</t>
  </si>
  <si>
    <t>Ultrasonogrāfijas iekārta</t>
  </si>
  <si>
    <t>Pārēje</t>
  </si>
  <si>
    <t>Veļas mazgājamā mašīna mopiem</t>
  </si>
  <si>
    <t>Maksas pakalpojumi sniegti lielākā apjomā.Palielinājušies ieņēmumi nomniekiem (komunālo pakalpojumu cenu pieaugums).</t>
  </si>
  <si>
    <t xml:space="preserve">Noslēgts jauns līgums ar Latvijas Universitāti, mainīti līguma nosaacījumi. Par rezidentu apmācību ir noteikta mēneša maksa 2176.37 EUR (1-2 kurss) un 2394.01 EUR (3-4 kurss), līdz tam 8.50 EUR dienā par rezidenta apmācību. </t>
  </si>
  <si>
    <t>Artropulss SIA</t>
  </si>
  <si>
    <t>Rezidentu apmācība</t>
  </si>
  <si>
    <r>
      <t>Skaidrojumi</t>
    </r>
    <r>
      <rPr>
        <vertAlign val="superscript"/>
        <sz val="14"/>
        <rFont val="Times New Roman"/>
        <family val="1"/>
      </rPr>
      <t>1</t>
    </r>
  </si>
  <si>
    <t>2022. gadā netika plānoti Valsts aizsardzības loģistikas un iepirkumu centra bezmaksas saņemtie vienreiz lietojamie aizsardzības līdzekļi.</t>
  </si>
  <si>
    <r>
      <t>Skaidrojumi</t>
    </r>
    <r>
      <rPr>
        <vertAlign val="superscript"/>
        <sz val="13"/>
        <rFont val="Times New Roman"/>
        <family val="1"/>
        <charset val="186"/>
      </rPr>
      <t>2</t>
    </r>
  </si>
  <si>
    <r>
      <rPr>
        <vertAlign val="superscript"/>
        <sz val="13"/>
        <rFont val="Times New Roman"/>
        <family val="1"/>
        <charset val="186"/>
      </rPr>
      <t xml:space="preserve">2 </t>
    </r>
    <r>
      <rPr>
        <sz val="13"/>
        <rFont val="Times New Roman"/>
        <family val="1"/>
        <charset val="186"/>
      </rPr>
      <t>Detalizēti skaidrojumi par faktisko Naudas plūsmas pozīciju noviržu iemesliem periodā no n gada sākuma līdz pārskata ceturkšņa beigām, kā arī par to izmaiņām, salīdzinot ar n-1 gada attiecīgo periodu, gadījumos, ja novirze faktisko Naudas plūsmas pozīcijās ir virs 5%.</t>
    </r>
  </si>
  <si>
    <t>Centrālapkures patēriņš (kWh)</t>
  </si>
  <si>
    <t>Ierobežoti subakūtās rehabilitācijas pakalpojumiem</t>
  </si>
  <si>
    <t>Nodrošināta iespēja palielināt dienas stacionārā veikto operāciju skaitu</t>
  </si>
  <si>
    <t>Licence datu loģistikas programmai Synapsis</t>
  </si>
  <si>
    <t>Kude Igors</t>
  </si>
  <si>
    <t>E-komercijas pacientu iemaksa</t>
  </si>
  <si>
    <t>Medasistents SIA</t>
  </si>
  <si>
    <t>Ambulatorie medicīniskie pakalpojumi</t>
  </si>
  <si>
    <r>
      <t xml:space="preserve">Pamatlīdzekļu un nemateriālo ieguldījumu iegāde kopā </t>
    </r>
    <r>
      <rPr>
        <b/>
        <vertAlign val="superscript"/>
        <sz val="13"/>
        <color theme="1"/>
        <rFont val="Times New Roman"/>
        <family val="1"/>
        <charset val="186"/>
      </rPr>
      <t>1</t>
    </r>
  </si>
  <si>
    <r>
      <t xml:space="preserve">Dotācija no pašvaldības budžeta kopā </t>
    </r>
    <r>
      <rPr>
        <i/>
        <sz val="13"/>
        <color theme="1"/>
        <rFont val="Times New Roman"/>
        <family val="1"/>
        <charset val="186"/>
      </rPr>
      <t>(sadalījumā pa projektiem un/vai finansējuma mērķiem), t.sk.</t>
    </r>
  </si>
  <si>
    <r>
      <t xml:space="preserve">Eiropas Struktūrfondi investīcijām kopā </t>
    </r>
    <r>
      <rPr>
        <i/>
        <sz val="13"/>
        <color theme="1"/>
        <rFont val="Times New Roman"/>
        <family val="1"/>
        <charset val="186"/>
      </rPr>
      <t>(sadalījumā pa projektiem un/vai finansējuma mērķiem)</t>
    </r>
  </si>
  <si>
    <r>
      <t xml:space="preserve">Valsts budžeta līdzekļi kopā </t>
    </r>
    <r>
      <rPr>
        <i/>
        <sz val="13"/>
        <color theme="1"/>
        <rFont val="Times New Roman"/>
        <family val="1"/>
        <charset val="186"/>
      </rPr>
      <t>(sadalījumā pa projektiem un/vai finansējuma mērķiem), t.sk.</t>
    </r>
  </si>
  <si>
    <r>
      <t xml:space="preserve">Citi līdzekļi kopā </t>
    </r>
    <r>
      <rPr>
        <i/>
        <sz val="13"/>
        <color theme="1"/>
        <rFont val="Times New Roman"/>
        <family val="1"/>
        <charset val="186"/>
      </rPr>
      <t>(sadalījumā pa projektiem un/vai finansējuma mērķiem), t.sk.</t>
    </r>
  </si>
  <si>
    <r>
      <t xml:space="preserve">Ziedojumi </t>
    </r>
    <r>
      <rPr>
        <i/>
        <sz val="13"/>
        <color theme="1"/>
        <rFont val="Times New Roman"/>
        <family val="1"/>
        <charset val="186"/>
      </rPr>
      <t>(sadalījumā pa projektiem un/vai finansējuma mērķiem), t.sk.</t>
    </r>
  </si>
  <si>
    <t xml:space="preserve"> Instrumenti tiek pasūtīti pēc vajadzības, lai nodrošinātu slimnīcas darbu, veidojot komplektus, vai aizstājot nolietotos instrumentus. </t>
  </si>
  <si>
    <t>Plāns sastādīts ņemot vērā iepriekšējā gada rādītājus, lai gan Covid izplatības dēļ bija ierobežotas iespējas sniegt plānveida medicīnas pakalpojumus 2022. gadā ir pieaudzis pacientu skaits ar akūtām traumām.</t>
  </si>
  <si>
    <t>Pieaugumu ietekmējis PVN likmes maiņa medicīnas precēm - no 12% uz 21%.</t>
  </si>
  <si>
    <t>2022.gadā no janvāra līdz jūnijam darbiniekiem, kuri strādāja paaugstināta riska apstākļos ar Covid19 pacientiem, saskaņā ar slimīcas atskaiti, kompensēti izdevumi piemaksu nodrošināšanai darbiniekiem.</t>
  </si>
  <si>
    <t>Izpilde periodā no 2021. gada sākuma līdz 4. ceturkšņa beigām</t>
  </si>
  <si>
    <t>Plāns periodam no 2022. gada sākuma līdz pārskata 4. ceturkšņa beigām</t>
  </si>
  <si>
    <t>Izpilde periodā no 2022. gada sākuma līdz 4. ceturkšņa beigām</t>
  </si>
  <si>
    <t>Izpilde periodā no 2022. gada sākuma līdz pārskata 4. ceturkšņa beigām</t>
  </si>
  <si>
    <t>Izpilde periodā no 2021. gada sākuma līdz pārskata 4. ceturkšņa beigām</t>
  </si>
  <si>
    <t>Palielinājies maksas pacientu skaits.Palielinājušās nomniekiem izrakstīto rēķinu summas, ņemot vērā tirgus cenas elektrībai, apkurei, ūdenim, kanalizācijai, atkritumu izvešanai.</t>
  </si>
  <si>
    <t>No 2022.g. atbrīvotajās kategorijās iekļautas personas ar II grupas invaliditāti, līdz ar ko samazinājies finanšu apjoms šajā pozīcijā</t>
  </si>
  <si>
    <t>Palielināts noslēgtā finansējuma apjoms</t>
  </si>
  <si>
    <t xml:space="preserve">Modernāka siltummezgla izbūve. </t>
  </si>
  <si>
    <t xml:space="preserve">Ieviesti energo taupības režīmi </t>
  </si>
  <si>
    <t>Rasta iespēja būtiski palielināt plānveida lielo locītavu endoprotezēšanu</t>
  </si>
  <si>
    <t>2021.g. samazināta maksas ambulatoro pacientu plūsma COVID19 ārkārtas situācijas dēļ</t>
  </si>
  <si>
    <t>Salīdzinot ar 2021.gadu vidējais nostrādātais virsstundu skaits uz vienu darbinieku ir samazinājies, jo ir vērojams personāla skaita pieagums.</t>
  </si>
  <si>
    <t>Piešķirts papildus finansējums  tiešo energoresursu sadārdzinājuma kompensēšanai. Papildus finansējums endoprotezēšanai.</t>
  </si>
  <si>
    <t>Palielināts noslēgtā finansējuma apjoms stacionārai palīdzībai</t>
  </si>
  <si>
    <t xml:space="preserve">Ņemot vērā darbinieku mainību, 2022.gadā, mēneša amatalga valdei ieplānota priekš 3 nodarbinātajiem. </t>
  </si>
  <si>
    <t>1142- ņemot vērā straujo darbinieku saslimstību (2022.gadā slimības lapu skaits salīdzinot ar 2021.gadu pieaudzis par 47.34%, savukart slimošanas ilgums par 18.47%), darbiniekiem nākas strādāt papildus virsstundas, lai nodrošonātu slimnīcas nepārtrauktu darbu. 1146/1147 -  piemaksu aprēķinu būtiski ietekmē darbinieku slimošana. Plāns tika sastādīts ņemot vērā 2021.gada izdevumus un plānoto algu palielinājumu.  2022.gada plāns nav izpildīts, jo būtiski palielinājās darbinieku saslimstība. 1148-Māsu dienā vidējam un jaunākajam medicīnas personālam izmaksātas prēmijas. 2022.gadā slimnīcas darbiniekiem uz Ziemassvētkiem tika izmaksātas prēmijas par kvalitatīvi veikti darbu. 1149 - Ņemot vērā slimības lapu apjoma un slimošanas ilguma palielināšanos darbiniekiem veiktas piemaksas par darba apjoma palielināšanos kolēģu prombūtnes laikā.</t>
  </si>
  <si>
    <t>Plāns sastādīts ņemot vēra 2021.gada izmaksas līgumdarbinieku atalgojumam. 2022.gadā tika plānots, ka izdevumi varētu palienāties saistībā ar rezidentu apmācību mazinoties Covid19 izplatībai. Apmācību vienību skaits ir palienājies - praktiskā apmācība par 14.67% savukārt teorētikā apmācība par 19.73%.</t>
  </si>
  <si>
    <t>2022.gadā darbiniekiem uz Ziemassvētkiem izmaksāja prēmijas par kvalitatīti veikti darbu. 2022.gadā prēmijas netika plānotas, jo prēmiju izmaksa atkarīgā no slimnīcas finanšu rādītājiem.</t>
  </si>
  <si>
    <t>1221 - plāns tika sastādīts ņemot vērā algu palielinājumu medicīnas personālam un slimības lapu apjomu saistībā ar Covid19 izplatību. Salīdzinot ar 2021.gadu slimības lapu apjoms pieaudzis par 47.34%, savukārt slimošanas ilgums par 18.47%. Būtiski pieauga A lapas, salīdzinot ar 2021.gadu. Skaits pieauga par 106.70%, savukārt slimošanas ilgums par 98.47%, kas būtiski palienāja izdevumus, kas iepriekš netika plātoti. Tika plānots, ka Covid slimošanai joprojām tiks pieškirtas slimības lapas B. 1228 - kompensācija redzes korekcijas līdzekļu iegādei plānota ņemot vērā 2021. gada izdevumus.Gan 2021.gadā un 2022.gadā pieprasījums pēc kompensācijas briļļu iegādei ir līdzvērtīgs (2021.gadā 6 cilvēki un 2022.gadā 6 cilvēki), lai gan gada sākumā tika plānots, ka pieprasījums varētu palielināties.</t>
  </si>
  <si>
    <t>Plāns sastādīts ņemot vēra 2021. gada izdevumus apmācībām. 2021.gadā apmaksāt kursus par "Minimālajām sanitārajām prasībām" pieprasīja 1 darbinieks, savukārt 2022.gada 2 darbinieki.</t>
  </si>
  <si>
    <t>Plāns sastādīts ņemot vērā 2021.gada izdevumus personālā apmācībām. 2022.gadā mazinoties Covid19 ierobežojumiem, darbinieki intensīvāk atsākuši apmeklēt kursus kvalifikācijas celšanai.</t>
  </si>
  <si>
    <t>2022.gada plāns sastādīts ņemot vērā 2021.gada izpildi. Faktiskā izpilde ir mazāka nekā plānots, jo 2022.gadā samazinājušies izdevumi par telefona sakaru pakalpojumiem un parējie izdevumi, kas saistīti ar sakaru nodrošināšanu slimnīcā.</t>
  </si>
  <si>
    <t>2221 - 2022.gadā saskaņā ar Līgumu Nr.01-29/105 tika izveidots siltumapgādes pieslēgums siltumtīklam, lai siltumu slimnīcā nodrošinātu A/S Rīgas siltums, līdz ar to faktiskā izpilde 2022.gadā ir lielāka nekā plānots, jo pieslēguma izveide papildus izmaksāja 38054.54  eiro. 2222 - 2022.gada plāns sastādīts ņemot vērā 2021.gada izpildi, ūdens patēriņš un kanalizācijas apjoms 2022.gadā ir samazinājies par 6%, savukārt pieaugusi maksa par vienu m3. Ūdens apgādes cena pieagusi par 0.35 centiem, savukār kanalizācijas cena par 0.47 centiem. 2223- Eletroenerģijas patēriņš 2022.gadā samazinājies par 11% (ieviešot taupības pasākumus). 2022.gadā būtiski pieagusi cena par 1 kwh - 2021.gadā vidējā cena 0.12 centi, bet 2022.gadā vidējā cena par 1 kwh pieauga līdz 0.255 centiem. 2224- 2022.gadā palielināts tarifs sadzīves atkritumu izvešanai (2021.gadā 14.24 par m3, no 01/2022- 06/2022 20.04 eiro par m3, no 07.2022. 20.79 eiro par m3). 2022.gadā pieaudzis biomateriāls (kremācijai) par 90 kg - saistīts ar operāciju apjoma palielināšanos mazinoties Covid19 ierobežojumiem.</t>
  </si>
  <si>
    <t>2022.gadā plānots ka izdevumi transporta pakalpojumiem varētu pieaugt ņemot vērā cenu kāpumu degvielai. Faktiskā izpilde salīdzinot ar plānu ir mazāka.</t>
  </si>
  <si>
    <t>2022.gadā tika plānots, ka mazinoties Covid 19 izplatībai varētu būtiski pieaugt izmaksas par mācību pakalpojumiem, jo darbinieki atsāktu apmeklēt kursus un seminārus, kas 2021.gadā bija ierobežots. Faktiskā izpilde ir mazāka nekā plānots 2022.gada sākumā.</t>
  </si>
  <si>
    <t>Plāns sastādīts ņemot vērā iepriekšējā gada izmaksas  - banku komisijas maksas, kā arī izdevumi par skaidrās naudas inkasēšanas nodrošināšanu. Ņemot vērā pakalpojumu cenu kāpumu, tika plānota, ka pakalpojumu izmaksas varētu pieaugt. Plānotie izdevumi salīdzinot ar pagājušo gadu ir pieauguši - izdevumi par inkasācijas nodrošināšanu 10.42 %, savukārt banku komisijas maksas par 10.10% - no 2022.gada janvāra slimnīcā ieviesta e-komerija, kur par attālinātu ārsta konsultāciju var norēķināties caur banku. Līdz ar to SEB bankā atvērts jauns konts, kur tāpat, kā citos kontos ir jāmaksa komisijas maksa par darbībām kontā un konta uzturēšanu.</t>
  </si>
  <si>
    <r>
      <t xml:space="preserve">2022. gadā pieauguši izdevumi pārējiem neklasificētajiem pakalpojumiem.  Plāns sastādīts ņemot </t>
    </r>
    <r>
      <rPr>
        <sz val="12"/>
        <rFont val="Times New Roman"/>
        <family val="1"/>
        <charset val="186"/>
      </rPr>
      <t>vērā 2021.gada izdevumus. 2022.gadā izdevumi palielinājušies veļas mazgāšanai, pārējiem medicīnas pakalpojumiem (</t>
    </r>
    <r>
      <rPr>
        <sz val="12"/>
        <rFont val="Times New Roman"/>
        <family val="1"/>
      </rPr>
      <t>analīzes, izmeklējumi, asins grupu testi), izdevumi rezidentu apmācībai (2021.gadā 11133.85 eiro, 2022.gadā 13976.44 eiro), izdevumi apsardzes pakalpojumiem, izdevumi citiem vadīšanas un administrācijas izdevumiem. 2022.gadā tika saņemtas revīzijas un vadības konsultācijas par grāmatvedības politikas izstrādāšanu -2800 eiro, un konsultācija par nekustamā īpašuma izvērtēšanu 585 eiro. 2022.gadā saņemti atlases firmas pakalpojumi (valdes locekļa amatam) 7400 eiro apmērā, kā arī veikts elektroaudits, lai sakārtotu energoefektivitāti slimnīcā - 9075 eiro.</t>
    </r>
  </si>
  <si>
    <t>2241 - 2022.gada plāns sastādīts ņemot vērā iepriekšējā gada izdevumus. 2022.gadā līdzekļu taupības nolūkos un iespēju robežās remondarbus veica Saimniecības daļas darbinieki. 2022. gadā netika veikti remontdarbi pieskaistot būvniecības uzņemumus. 2242 - 2022.gadā izpilde ir lielāka nekā plānots gada sākumā, jo a/m Škoda 2022.gadā tika izieta tehniskā apskate un apmaksāti nodokļi par 2 gadiem. 2243 - 2022.gadā palielinājušies pārējie izdevumi saimniecisko iekārtu tehnikajai apkopei,remontam - 2022.gadā veikta ventilācijas sistēmu gaisa vadu tīrīšana( 20503.62 eiro apmērā).  2244 - 2022.gadā palielinājušies izdevumi nekustamā īpašuma uzturēšanai: izmaksas pieagušas darba aizsardzības sistēmas uzturēšanai, deratizācijas pakalpojumiem. 2247 - apdrošināšanas izdevumiem pieagušas izmaksas(Kasko izmaksas pieaugušas par 65 eiro, OCTAS par 51 eiro, nekustamā īpašum nodoklis par 925 eiro).</t>
  </si>
  <si>
    <t>Salīdzinot ar 2021.gadu un plānu 2022.gadā samazinājušies programmatūru uzturēšanas pakalpojumu izmaksas un nomas pakalpojumi.</t>
  </si>
  <si>
    <t>2022.gadā pieaugušas izmaksas iekārtu,aparatūras un inventāra īrei: ires izmaksas palielinājušās LindeGas, Elis, Venden. 2269 - 2022.gadā noma iekārtām ir samazinājusies. No Arbor Medical Korporācija SIA vairs netiek nomāta ultrasonogrāfijas iekārtas Affiniti, jo slimīca 09.06.2021. iegādājusies savu.</t>
  </si>
  <si>
    <t>2022.gadā tika plānots, ka izdevumi par juridiskajiem pakalpojumiem varētu palielināties salīdzinot ar 2021.gadu, ņemot vērā dažādas izmaiņas likumdošanā. Izpilde ir mazāka, nekā plānots sākumā.</t>
  </si>
  <si>
    <t>2022.gada plāns sastādīts  saskaņā ar 2021. gada attiecīgā perioda izpildi. Izpilde ir lielāka nekā plānots gada sākumā, jo pabeigto lietu skaits piedziņas procesā ir palielinājies. 2021. gadā  698 lietas, savukārt 2022.gadā 859 lietas.</t>
  </si>
  <si>
    <t>2022.gadā faktiskā izpilde biroja preču iegādei ir lielāka nekā plānots. 2022.gadā pieaugot cenām par 28.06% palielinājušies izdevumi dažādu medicīnisko veidlapu iegādei. 2022.gadā pieagušas cenas kancelejas precēm, piemēram 2021.gadā iepakojums A4 papīrs maksāja 2.35, savukārt 2022.gadā cena par iepakojumu sasniedza 3.70 eiro.  2022.gadā pieprasījums pēc indivuduālās aizsardzības līdzekļiem ir mazāks, jo valstī mazinājusies Covid19 izplatība un ierobežojumi.</t>
  </si>
  <si>
    <t>2022. gada plāns sastādīts ņemot vērā iepriekšējā gada izdevumus degvielai. Plāns ir pārsniegts, jo palielinājusies degvielas cena, kā arī palielinājies degvielas patēriņš. 2022.gadā pasūtītos materiālus no veikaliem cenšamies izņemt paši, lai operatīvāk orgazinētu dažādus darbus slimnīcā. (Piedāde ar kurjēru bieži vien ir jāgaida vairākas dienas, kas kavē plānotos darbus).</t>
  </si>
  <si>
    <t>Plāns sastādīts ņemot vērā iepriekšējā gada rādītājus, plānojot, ka pacientu aprūpe un operāciju apjoms varētu palielināties, līdz ar to līdzekļu izlietojums medicīnas precēm plānots lielāks nekā iepriekšējā gadā.  2022.gadā izlietots vairāk nekā plānots gada sākumā, jo mazinoties Covid19 ietekmei uz pacientu aprūpi palielinājies pacientu skaits, kuriem sniegta medicīniskā palīdzība.</t>
  </si>
  <si>
    <t>2022. gadā  izpilde ir lielāka nekā plānots sākumā, jo daudzi remontdarbi tiek veikti pašu spēkiem. 2022.gadā vērojams cenu pieagums materiāliem un izejvielām.</t>
  </si>
  <si>
    <t>Mazvērtīgā inventāra plāns sastādīts ņemot vēra iepriekšējā gada izdevumus - 2022.gadā inventārā iegādei iztērēti mazāk līdzekļi nekā iepriekšējā gadā, jo inventāra iegāde/ nomaiņa tiek veikta nepieciešāmības gadījumā, izvērtējot iesniegumus, par nepieciešamību. Plāns par ēdināšanu sastādīts ņemot vērā 2021.gada izmaksas. Plāns ir pārtērēts, jo ņemot vērā eletroenerģijas cenu pieaugumu ir pieaugušas izmaksas par vienu porciju. Salīdzinot ar 2021.gada porcijas cena 2022.gadā ir palielināta divas reizes (2021.gadā parastā porcija maksāja 3.70, savukār 2022.gadā 4.07, bet no 01.07.2022. 5.48)</t>
  </si>
  <si>
    <t xml:space="preserve"> 2512-Plāna izpildi ietekmēja  pievienotā vērtības nodokļa izmaiņas: no 12% un 21%. 2515 - no 04.2022. dabas resursu nodoklis vairs netiek aprēķināts - slimnīcā vairs netiek izmantota gāzes apkure.</t>
  </si>
  <si>
    <t>2022.gada plāns sastādīts ņemot vērā iepriekšējā gada nolietojumu. 2022.gadā atjaunotas un pagarinātas licences, kas būtiskas slimnīcas darba nodrošinānai. Salīdzinot ar 2021.gadu 2022.gadā samazinājusies nemateriālo ieguldījumu uzskaites vērtības kopsumma (saistīts ar licenču/programmu  nolietojuma aprēķina perioda beigšanos, un jaunu licenču/programmu iegādi).</t>
  </si>
  <si>
    <t>2022.gadā pacienti par kavētām rēķinu apmaksām ir samaksājuši vairāk soda naudu, nekā tika plānots gada sākumā.</t>
  </si>
  <si>
    <t>Norakstīto pamatlīdzekļu atlikusī vērtība 2022.gadā samazinājusies likvidētajiem pamatlīdzekļiem - 2021.gadā no kopējās summas tie bija 5.83%, savukārt 2022.gadā likvidēto pamatlīdzekļu atlikusī vērtība skatoties pret kopsummu ir 4.48%. 8700- 2022.gada plāns sastādīts ņemot vērā iepriekšēja gada rādītājus. Salīdzinot ar 2021.gadu, samazinājušās neizmantoto atvaļinājumus dienas uz 31.decembri - 2021.gadā neizmantotās atvaļinājuma dienas slimnīcas personālam 454.65, savukārt 2022.gadā 250.99. 8600- salīdzinot plānu ar 2022.gada faktisko izpildi izdevumi debitoru parādu norakstīšanai ir samazinājušies.</t>
  </si>
  <si>
    <t>Vērojams algu izdevumu samazinājums slimnīcas valdei - salīdzinot 2021.gadu ar 2022.gadu vērojamas personāla izmaiņas. No 19.02.2022. līdz 29.09.2022. slimnīcas valdē darbojās 2 cilvēki. No 30.09.2022. noslēgts līgums ar trešo valdes locekli. Medicīnas personālam palielinātas algas no 01.01.2022. par 4.3%.</t>
  </si>
  <si>
    <t>1141/1142 - medicīnas personālam palielinātas algas no 01.01.2022. par aptuveni 4.3%. 1142- ņemot vērā straujo darbinieku saslimstību (2022.gadā slimības lapu skaits salīdzinot ar 2021. gadus pieaudzis par 47.34%, savukart slimošanas ilgums par 18.47%), darbiniekiem nākas strādāt papildus virsstundas, lai nodrošonātu slimnīcas nepārtrauktu darbu. 1145 -  Salīdzinot ar iepriekšējā gada  izpildi, piemaksas par darbu saistībā ar Covid19 tiek norādītās pozīcijā 8900. 1146/1147 -  piemaksu aprēķinu būtiski ietekmē darbinieku slimošana. Salīdzinot ar 2021. gadu izdevumi ir mazāki, jo darbinieki kuriem ir procentuālās piemaksas slimo, kas ietekmē izmaksas apjomu. Atsevišām piemaksas no 1149 mainīts EKK uz 1145 vai 1147.   1148 - Starptautiskajā māsu dienā vidējam un jaunākajām medicīnas personāma  izmaksātas prēmijas, arī Ziemassvētkos darbiniekiem izmaksātas prēmijas par kvalitatīvi veiktu darbu. 2021. gadā prēmijas uz Ziemassvētkiem netika izmaksātas. 1149 - Atsevišķām piemaksām EKK no 1149 mainīts uz 1145 vai 1147. 1149 - Ņemot vērā slimības lapu apjoma un slimošanas ilguma palielināšanos darbiniekiem veiktas piemaksas par darba apjoma palielināšanos kolēģu prombūtnes laikā.</t>
  </si>
  <si>
    <t>Salīdzinot ar 2021.gadu palielinājušies izdevumi rezidentu apmācībai. Apmācību vienību skaits ir palienājies - praktiskā apmācība par 14.67% savukārt teorētikā apmācība par 19.73%.</t>
  </si>
  <si>
    <t>2022.gadā darbiniekiem uz Ziemassvētkiem izmaksāja prēmijas par kvalitatīti veikti darbu. 2022.gadā prēmijas netika plānotas, jo prēmiju izmaksa atkarīgā no slimnīcas finansu rādītājiem. Medicīnas personālam palielinātas algas par aptuveni 4.3%.</t>
  </si>
  <si>
    <t xml:space="preserve">Medicīnas personālam palielināta alga par atuveni 4.3%. Salīdzinot ar 2021.gadu slimības lapu apjoms pieaudzis par 47.34%, savukārt slimošanas ilgums par 18.47%. Būtiski pieauga A lapas, salīdzinot ar 2021.gadu. Skaits pieauga par 106.70%, savukārt slimošanas ilgums par 98.47%, kas būtiski palienāja izdevumus.. Tika plānots, ka Covid slimošanai joprojām tiks pieškirtas slimības lapas B. </t>
  </si>
  <si>
    <t xml:space="preserve"> 2021.gadā apmaksāt kursus par "Minimālajām sanitārajām prasībām" pieprasīja 1 darbinieks, savukārt 2022.gadā. 2 darbinieki.</t>
  </si>
  <si>
    <t>2022.gadā apmeklēti 6 kursi 7711.84 eiro apmērā, savukārt vecākajai fizioterepeitei apmaksāti komandējuma izdevumi 816.98 apmērā. Salīdzinot ar 2021.gadu izdevumi pieaguši mazinoties Covid19 ierobežojumiem.</t>
  </si>
  <si>
    <t>2221 - 2022.gadā saskaņā ar Līgumu Nr.01-29/105 tika izveidots siltumapgādes pieslēgums siltumtīklam, lai siltumu slimnīcā nodrošinātu A/S Rīgas siltums -  pieslēguma izveide papildus izmaksāja 38054.54  eiro. 2222 -  Ūdens patēriņš un kanalizācijas apjoms 2022.gadā ir samazinājies par 6%, savukārt pieagusi maksa par vienu m3. Ūdens apgādes cena pieagusi par 0.35 centiem, savukār kanalizācijas cena par 0.47 centiem. 2223- Eletroenerģijas patēriņš 2022.gadā samazinājies par 11% (ieviešot taupības pasākumus). 2022.gadā būtiski pieagusi cena par 1 kwh - 2021.gadā vidējā cena 0.12 centi, bet 2022.gadā vidējā cena par 1 kwh pieauga līdz 0.255 centiem. 2224- 2022.gadā palielināts tarifs sadzīves atkritumu izvešanai (2021.gadā 14.24 par m3, no 01/2022- 06/2022 20.04 eiro par m3, no 07.2022. 20.79 eiro par m3). 2022.gadā pieaudzis biomateriāls (kremācijai) par 90 kg - saistīts ar operāciju apjoma palielināšanos mazinoties Covid19 ierobežojumiem.</t>
  </si>
  <si>
    <t xml:space="preserve">2022.gadā salīdzinot ar 2021.gadu vērojams izdevumu pieaugums transporta pakalpojumiem. 2022.gadā pieauga izdevumi piegāžu izmaksām (papildus izmaksas par sašķidrinātās gāzes piegādi), kā arī izmaksas par taksometru pakalpojumu izmantošanu, lai nodrošinātu darbinieku nokļūšanu uz slimnīcu ārkārtas izsaukuma gadījumā. </t>
  </si>
  <si>
    <t>Salīdzinot ar 2021.gadu faktiskā izpilde ir palielinājusies, jo 2022.gadā mazinoties Covid19 izplatībai, medicīnas personāls ir atsācis apmeklēt kursus un seminārus kvalifikācijas celšanai, kas pandēmijas laikā bija atcelti.</t>
  </si>
  <si>
    <t>Izdevumi salīdzinot ar pagājušo gadu ir pieauguši - izdevumi par inkasācijas nodrošināšanu 10.42 %, savukārt banku komisijas maksas par 10.10% - no 2022.gada janvāra slimnīcā ieviesta e-komerija, kur par attālinātu ārsta konsultāciju var norēķināties caur banku. Līdz ar to SEB bankā atvērts jauns konts, kur tāpat, kā citos kontos ir jāmaksa komisijas maksa par darbībām kontā un konta uzturēšanu.</t>
  </si>
  <si>
    <t>2022. gadā pieauguši izdevumi pārējiem neklasificētajiem pakalpojumiem. 2022.gadā izdevumi palielinājušies veļas mazgāšanai, pārējiem medicīnas pakalpojumiem (analīzes, izmeklējumi, asins grupu testi), izdevumi rezidentu apmācībai (2021.gadā 11133.85 eiro, 2022.gadā 13976.44 eiro), izdevumi apsardzes pakalpojumiem, izdevumi citiem vadīšanas un administrācijas izdevumiem. 2022.gadā tika saņemtas revīzijas un vadības konsultācijas par grāmatvedības politikas izstrādāšanu -2800 eiro, un konsultācija par nekustamā īpašuma izvērtēšanu 585 eiro. 2022.gadā saņemti atlases firmas pakalpojumi (valdes locekļa amatam) 7400 eiro apmērā, kā arī veikts elektroaudits, lai sakārtotu energoefektivitāti slimnīcā - 9075 eiro.</t>
  </si>
  <si>
    <t>2241 - 2022.gadā līdzekļu taupības nolūkos un iespēju robežās remondarbus veica Saimniecības daļas darbinieki. 2022. gadā netika veikti remontdarbi piesaistot būvniecības uzņemumus.(2021.gadā tika veikti telpu remondarbi Aptiekā un Administrācijas ēkā, remondarbi ambulatorajā nodaļā, gardeborbes remonts Duntes 22 -k-3). 2242 - 2022.gadā izpilde ir lielāka, jo a/m Škoda 2022.gadā tika izieta tehniskā apskate un apmaksāti nodokļi par 2 gadiem.  2243 - 2022.gadā palielinājušies pārējie izdevumi saimniecisko iekārtu tehnikajai apkopei,remontam - 2022.gadā veikta ventilācijas sistēmu gaisa vadu tīrīšana( 20503.62 eiro apmērā).  2244 - 2022.gadā palielinājušies izdevumi nekustamā īpašuma uzturēšanai: izmaksas pieagušas darba aizsardzības sistēmas uzturēšanai, deratizācijas pakalpojumiem.  2247 - apdrošināšanas izdevumiem pieagušas izmaksas(Kasko izmaksas pieaugušas par 65 eiro, OCTAS par 51 eiro, nekustamā īpašum nodoklis par 925 eiro).</t>
  </si>
  <si>
    <t>2264 - 2022.gadā pieauguši izdevumi iekārtu, inventārā nomai. Nomas izdevumi palielinājušies par gāzes balonu konteinera nomu, paklāju un higienas iekārtu nomu, par ūdens iekārtu nomu. 2269 - 2022.gadā noma iekārtām ir samazinājusies. No Arbor Medical Korporācija SIA vairs netiek nomāta ultrasonogrāfijas iekārtas Affiniti, jo slimīca 09.06.2021. iegādājusies savu.</t>
  </si>
  <si>
    <t>2022.gadā darbiniekiem tika organizētas apmācības datu aizsardzībā - kopējās izmaksas 4440 eiro. 2021.gadā par datu aizsardzību tika iztērēti 5133.75 eiro. 2022.gadā  tika piesaistīta Zvērināta advokāta biroja Notus palīdzība, lietā par līgumsoda un zaudējumu piedziņu, kas izmaksāja 1056  eiro.</t>
  </si>
  <si>
    <t>2022.gadā  pabeigto lietu skaits piedziņas procesā ir palielinājies. 2021. gadā  698 lietas, savukārt 2022.gadā 859 lietas.</t>
  </si>
  <si>
    <t xml:space="preserve"> 2022.gadā izdevumi par biroja precēm ir krietni lielāki salīdzinot ar 2021.gadu. Izdevumi  palielinājušies gan par veidlapu iegādi (medicīnas procesa nodrošināšani - 3890 eiro) un saimniecības materiāliem, kancelejas precēm - 20176.06 eiro. Salidzinoši ar iepriekšējā gada pasūtījumiem, kancelejas precēm pieagušas cenas, piemēram, papīram. 2021.gadā cena par A4 formāta papīra iepakojumu bija 2.35 eiro, 2022.gadā cena par papīra iepakojumu sasniegusi 3.70 eiro. 2022.gadā pieprasījums pēc indivuduālās aizsardzības līdzekļiem ir mazāks, jo valstī mazinājusies Covid19 izplatība un ierobežojumi.</t>
  </si>
  <si>
    <t>2021.gadā patērēti 1279.23 litri, savukārt 2022.gadā 1520.24 litri. 2022.gadā pasūtītos materiālus no veikaliem cenšamies izņemt paši, lai operatīvāk orgazinētu dažādus darbus slimnīcā. (Piedāde ar kurjēru bieži vien ir jāgaida vairākas dienas, kas kavē plānotos darbus).</t>
  </si>
  <si>
    <t>2022.gadā pieaudzis akūtu pacientu skaits, kuriem sniegta neatliekama palīdzība.</t>
  </si>
  <si>
    <t>2022.gadā asins komponenti no Valsts Asinsdonora centra izlietoti mazāk, kā 2021.gada attiecīgajā periodā, atkarīgs no ārstējamo pacientu sarežģītības pakāpes.</t>
  </si>
  <si>
    <t xml:space="preserve">  2022.gadā mazinoties Covid19 ietekmei uz pacientu aprūpi palielinājies pacientu skaits, kuriem sniegta medicīniskā palīdzība, līdz ar to pieaguši izdevumi medicīnas precēm un implantiem.</t>
  </si>
  <si>
    <t>2022. gadā  izpilde ir lielāka, jo daudzi remontdarbi tiek veikti pašu spēkiem. 2022.gadā vērojams cenu pieagums materiāliem un izejvielām.</t>
  </si>
  <si>
    <t>Salīdzinot ar 2021.gadu izdevumi mazvērtīgajam inventārām samazinājušies. Inventāra iegāde/ nomaiņa tiek veikta nepieciešāmības gadījumā, izvērtējot iesniegumus, par nepieciešamību. Salīdzinot ar 2021.gada porcijas cena 2022.gadā ir palielināta divas reizes (2021.gadā parastā porcija maksāja 3.70, savukār 2022.gadā 4.07, bet no 01.07.2022. 5.48)</t>
  </si>
  <si>
    <t xml:space="preserve"> 2512-Pievienotā vērtības nodokļa izmaiņas: no 12% un 21%. 2515 - no 04.2022. dabas resursu nodoklis vairs netiek aprēķināts - slimnīcā vairs netiek izmantota gāzes apkure.   2518 - uzņēmējdarbības riska nodeva 2022.gadā ir mazāka nekā 2021.gada attiecīgajā periodā - aprēķināto riska nodevu ietekmē darbinieku mainība.</t>
  </si>
  <si>
    <t>2022.gadā atjaunotas un pagarinātas licences, kas būtiskas slimnīcas darba nodrošinānai. Salīdzinot ar 2021.gadu 2022.gadā samazinājusies nemateriālo ieguldījumu uzskaites vērtības kopsumma (saistīts ar licenču/programmu  nolietojuma aprēķina perioda beigšanos, un jaunu licenču/programmu iegādi).</t>
  </si>
  <si>
    <t>2022. gadā palielinājies aprēķinātais nolietojums pamatlīdzekļiem, jo laika posmā no 2021.gada iegādāti pamatlīdzekļi gan projektu ietvaros, gan no slimnīcas līdzekļiem, proporciāli palielinot aprēķinato nolietojumu. (2022.gadā iegādāti pamatlīdzekļi 983384.87 eiro apmērā - pamatlīdzekļu iegādei Covid19 ietvaros izlietoti 95187.07 eiro, operāciju zāles atjaunošanai izlietoti 267094.04 eiro).</t>
  </si>
  <si>
    <t xml:space="preserve"> 2022. gadā soda naudās pacienti ir samaksājuši par 6 eiro vairāk nekā iepriekšējā gadā.</t>
  </si>
  <si>
    <t>2022.gadā no janvāra līdz jūnijam darbiniekiem, kuri strādāja paaustināta riska apstākļos ar Covid19 pacientiem, saskaņā ar slimīcas atskaiti, kompensēti izdevumi piemaksu nodrošināšanai darbiniekiem.</t>
  </si>
  <si>
    <t>Norakstīto pamatlīdzekļu atlikusī vērtība 2022.gadā samazinājusies likvidētajiem pamatlīdzekļiem - 2021.gadā no kopējās summas tie bija 5.83%, savukārt 2022.gadā likvidēto pamatlīdzekļu atlikusī vērtība skatoties pret kopsummu ir 4.48%. 8700- Salīdzinot ar 2021.gadu, samazinājušās neizmantoto atvaļinājumus dienas uz 31.decembri - 2021.gadā neizmantotās atvaļinājuma dienas slimnīcas personālam 454.65, savukārt 2022.gadā 250.99. 8600-  2022.gadā  izdevumi debitoru parādu norakstīšanai ir samazinājušies. 8900 - pozīcijā uzskaitīts 2022.gada izmaksas(piemaksas, atvaļinājumu rezerve) par darbu paaugstināta riska uz slodze apstākļos (Covid19). 8800 - Salīdzinot ar 2021.gadu 2022.gadā mazāk līdzekļu iztērēti apbedīšanas pabalstiem un naudas balvām, kuras darbiniekiem tiek izmaksātas jubilejās (40, 50 60..utt. gadu jubilejās).</t>
  </si>
  <si>
    <t>Plāns sastādīts ņemot vērā iepriekšējā gada izdevumus algām. 2021.gada decembra alga ir izmaksāta decembrī, savukārt sociālā nodokļa maksājumi par decembri pārskaitīti 2022.gada janvārī.</t>
  </si>
  <si>
    <t>2022. gada  izdevumi mācībām tika plānoti mazāki, ņemot vērā iepriekšējā gada izdevumus, taču mazinoties Covid 19 izplatībai un ierobežojumiem, darbinieki atsāk apmeklēt kursus.</t>
  </si>
  <si>
    <t>2022.gadā pakalpojumu cenas palielinājušas, bet izpilde atkarīga no pakalpojumu atmaksas  datuma. Piemēram 2022.gada decembra siltuma rēķins apmaksāts 2023.gada janvāri. (115506.73 eiro apmērā).</t>
  </si>
  <si>
    <t>2022.gadā  faktiski līdzekļi ir iztērēti mazāk nekā plānots gada sākumā. Samazināti izdevumi krājumu iegādei par, tai skaitā izdevumi indivudiālās aizsardzības līdzekļiem.</t>
  </si>
  <si>
    <t xml:space="preserve"> No 2021.gada jūlija mainīta likme PVN no 12% uz 21%.</t>
  </si>
  <si>
    <t xml:space="preserve">2022. gadā  naudas atlikums uz perioda beigām budžeta līdzekļiem Nacionālā veselības dienesta projektam plānots izlietot pamatlīdzekļu iegādei, ievērojot projekta izpildes termiņus. </t>
  </si>
  <si>
    <t>Salīdzinot ar 2021.gadu  izdevumi par kursiem un semināriem ir palielinājušies, jo mazinoties Covid 19 izplatībai un ierobežojumiem slimnīcas darbinieki atsāka apmeklēt kursus, kuri tika atcelti vai nenotika slimības izplatības dēļ.</t>
  </si>
  <si>
    <t>2022.gadā  faktiski līdzekļi ir iztērēti mazāk. Samazināti izdevumi krājumu iegādei par, tai skaitā izdevumi indivudiālās aizsardzības līdzekļiem.</t>
  </si>
  <si>
    <t>2021.gadā Covid izplatības dēļ bija ierobežotas iespējas sniegt plānveida medicīnas pakalpojumus 2022. gadā ir pieaudzis pacientu skaits ar akūtām traumām.</t>
  </si>
  <si>
    <t>2021.gadā iegātās licences datu loģistikas sistēmai Sypanpsis un EGK datu arhivācijas sistēmas programmnodrošinājums, savukārt 2022.gadā iegādāta licence Belimed iekārtu ciklu parametru uzskaites programmai.</t>
  </si>
  <si>
    <t>Salīdzinot ar 2021.gadu 2022.gadā nav bijuši Ieņēmumi no akciju un obligāciju emisijas vai kapitāla līdzdalības daļu ieguldījumiem</t>
  </si>
  <si>
    <t>2022. gadā ieskaitīts pēdējais  maksājuma no CFLA par projektu Nr. 9.3.2.0/17/I/002 "Kvalitatīva veselības aprūpes pakalpojumu pieejamības uzlabošana, attīstot veselības aprūpes infrastruktūru". 2021. gadā maksājumu nebija.</t>
  </si>
  <si>
    <t>2022.gadā naudas līdzekļu atlikums uz gada beigām ir salīdzinoši mazāks kā 2021. gada janvārī -septembrī  - kreditoriem, kuriem ir apmaksas termiņs  veikti pārskaitījumi, tika ieguldīti līdzekļi dārgajos pamatlīdzekļos operāciju zāles izveidei. Valsts Kases projektu kontā ir ieskaitīta atlikusī daļa no ERAF projekta līdzekļiem - 168152 eiro.</t>
  </si>
  <si>
    <t>2022. gadā valsts apmaksātiem veselības aprūpes pakalpojumiem plāns pārpildīts par 1004768 eiro (stacionāriem pakalpojumiem izpilde lielāka par 1062341 eiro, ambulatorajiem pakalpojumiem izpilde mazāka par 57 573 eiro). Ieņēmumiem par rezidentu apmācību plāns pārpildīts par 70678 eiro, ieņēmumiem no bezmaksas saņemtajiem medikamentiem plāns pārpildīts par 55507 eiro, ieņēmumiem no ambulatorajiem un stacionārajiem maksas ieņēmumi  plāns pārpaildīts par 115598 eiro.</t>
  </si>
  <si>
    <t>2022. gada janvārī - decembrī, salīdzinoši ar 2021.gada attiecīgo periodu pieaugums Nacionālā veselības dienesta apmaksātajiem pakalpojumiem par stacionārās un ambulatorās palīdzības sniegšanu par 1814383 eiro. Ieņēmumi par maksas pakalpojumiem lielāki par 241981 eiro. Ieņēmumiem par rezidentu apmācību un bezmaksas saņemtajiem medikamentiem lielāki par 175000 eiro</t>
  </si>
  <si>
    <t>2022.gada janvārī - decembrī pārējiem kopējiem ieņēmumiem ieplānots mazāk (ieņēmumi nomas maksai, ieņēmumi investīciju projektiem, kā izpildē.</t>
  </si>
  <si>
    <t xml:space="preserve">2022.gada janvārī - decembrī salīdzinoši ar 2021.gada attiecīgo periodu ir palielinājušies pārējie saimnieciskās darbības ieņēmumi pa sekojošām lielākajām pozīcijām:  investīciju ieņēmumiem par 28972 eiro,  ieņēmumiem par nomu  par 67998 eiro, pārējiem ieņēmumiem  palielinājums par 6051 eiro. </t>
  </si>
  <si>
    <t>2022.gada janvāra - decembra plāns kopējiem izdevumiem pārpildīts par 217667 eiro: pozīcijas - apsardzes pakalpojumi, atkritumu izvešanai, programmatūru uzturēšanai, teritorijas uzkopšanai, telpu uzturēšanai, nomas pakalpojumiem, saimniecisko iekārtu tehniskai apkopei, darbinieku apmācībām.</t>
  </si>
  <si>
    <t>2022.gada janvārī- decembrī procentu ieņēmumos ir parādnieku samaksātās soda nauda 63 eiro apmērā salīdzinoši ar 2021.gada attiecīgo periodu - 57 eiro.</t>
  </si>
  <si>
    <t xml:space="preserve">2022. gada janvārī - decembrī nav plānā intelektuālo īpašumu. </t>
  </si>
  <si>
    <t>2022. gada janvārī - decembrī salīdzinoši ar 2021.gada attiecīgio periodu ieguldīti līdzekļi datorprogrammā Belimed - ielārtu ciklu parametru uzskaites datorprogramma - 1 gb</t>
  </si>
  <si>
    <t>2022.gada janvārī - decembrī plānots ieguldījums 200000 eiro nepabeigto un veidojošo objektu izmaksās  - naudas plūsma lielāka par 65505 eiro.</t>
  </si>
  <si>
    <t>2022. gada janvārī - decembrī salīdzinoši ar 2021.gada attiecīgio periodu ieguldījumi līdzekļi nepabeigtā celtniecībā  ir lielāki 2021. gada attiecīgajā periodā bija aktīvs ERAF projekts -  3. korpusa rekonstrukcija - atjaunošanas un pārbūves darbi (Lagron, SIA, Marčuks SIA), 2022. gada attiecīgajā periodā ir aktīvs kopsummā mazāks NVD projekts - 5.operāciju bloka pārbūve (Guliver Construction PS, L4 &amp; Mūsu Uzraugs, PS)</t>
  </si>
  <si>
    <t xml:space="preserve">2022.gada janvārī - decemnbrī  tehnoloģiskajām iekārtām - medicīnas iekārtām plāns nav izpildīts -  no pozīcijām mobilās ķirurģiskās C-loka iekārtām, operāciju galda pufi, medicīniskām ierīcēm un mēbelēm.  2022. gadā nebija plānotas pārējās tehnoloģiskās iekārtas. 2022. gada attiecīgajā periodā esam plānojuši saimniecības pamatlīdzekļus (izpilde par 48220 mazāka kā plānota) un datortehniku (izpilde par 25663 eiro mazāka kā plānota), kuri 2022.gadā nav iegādāti. </t>
  </si>
  <si>
    <t>2022.gada janvārī - decembrī  kustamiem īpašumiem salīdzinoši ar 2021.gada attiecīgo periodu, tehnoloģiskajām iekārtām - medicīnas un laboratorijas iekārtām samazinājums iegādēm par 76113 eiro, palielinājums pārējām tehnoloģiskām medicīnas iekārtām par 66354 eiro, saimniecības pamatlīdzekļiem (kondicionieriem, veļas mašīnai, krēsliem , statīviem, galdiem, skapjiem)  palielinājums par 54764 eiro,  datortehnikai (datoriem, printeriem) samazinājums  par 31270 eiro.</t>
  </si>
  <si>
    <t xml:space="preserve">Mazgāšanas-termiskās dezinfekcijas iekārta </t>
  </si>
  <si>
    <t>Vertikālās plūsmas iekarta</t>
  </si>
  <si>
    <t>Pacientu monitoru piegāde - darba stacija</t>
  </si>
  <si>
    <t>Ugunsdrošas evakuācijas durvis</t>
  </si>
  <si>
    <t>Pushermētiskās bīdāmās automātiskās durvis</t>
  </si>
  <si>
    <t>Pushermētiskās veramās automātiskās durvis</t>
  </si>
  <si>
    <t>Gāzu kontroles un trauksmes panelis,Kolektora skapis</t>
  </si>
  <si>
    <t>Piekabe-kravas kaste TIKI CP300-DLH, VIN Nr.V6AC2104100006768</t>
  </si>
  <si>
    <t>Degvielas tvertne Kingspan Truskmaster 900L,S/N 01 346501</t>
  </si>
  <si>
    <t>Akumulatora perforators MILWAUKEE M18 ONEFHPX-552X, S/N 002734</t>
  </si>
  <si>
    <t>Elektrosadales skapis</t>
  </si>
  <si>
    <t>Masāžas gulta funkcionālā</t>
  </si>
  <si>
    <t>Skeneris</t>
  </si>
  <si>
    <t>2022.gada janvārī - decembrī izpilde, salīdzinoši ar 2021. gada attiecīgo periodu - palielinājums izdevumiem atlīdzibai par 417767 eiro, komunālajiem pakapojumiem - elektroenerģijai par 209764 eiro, gāzei - par 256799, ūdens un kanalizācijas izdevumiem par 4657 eiro,  nodokļiem - pievienotais vērtības nodoklis par 479559 eiro, slimnieku ēdināšanai par 63792 eiro, medikamentiem par  84081 eiro, endoprotēzēm par 612297 eiro, medicīnas palīgmateriāliem par 141202 eiro, pamatlīdzekļu nolietojumam par 37301 eiro; samazinājums izdevumiem - osteosintēzes un mugurkaula implantiem par 185243 eiro, ēku remontiem par 120451 eiro, veļai par 69784 eiro, bezmaksas asins preparātiem par 69709 eiro.</t>
  </si>
  <si>
    <t xml:space="preserve">2022.gada janvārī - decembrī lielāka izpilde kā 2021. gada attiecīgajā periodā ir sekojošām lielākajām pozīcijām - saimniecisko iekārtu tehniskā apkope un remontdarbiem par 46588 eiro (2022. gada aprīlī apkures pakalpojumus pārņēma Rīgas siltums AS, kurš veica siltumapgādes sistēmas pieslēgšanu siltumtīkliem - izmaksas 31450 eiro. Atkritumu izvešanas pakalpojumiem (Eco Baltijas vide SIA, BAO SIA, Rīgas kremācijas centrs SIA)  lielākas izmaksas par 21020 eiro - remontdarbu celtniecības atkritumu izvešana, kā 2021. gada atiecīgajā periodā, telpu izturēšanai un iekārtu nomai palielinājums par 16635 eiro, pārējām izmaksām palielinājums par 15436 eiro. </t>
  </si>
  <si>
    <t>2022.gada janvārī - decembrī plāns pašu kapitālā neizpildās - pārskata periods 2022. gads noslēdzies ar peļņu 191758 eiro, slīdzinoši ar plānu 102089 eiro.</t>
  </si>
  <si>
    <t>2022.gada janvāra-decembra peļņas plāns par iepriekšejo periodu neprecīzs.</t>
  </si>
  <si>
    <t>2022.gada  janvārī - decembrī naudas līdzekļiem atlikums plānots lielāks - saistīts ar maksājumiem NVD projekta ietvaros.</t>
  </si>
  <si>
    <t>2022.gada janvārī - decembrī naudas līdzekļu atlikums uz perioda beigām ir salīdzinoši mazāks kā 2021. gada janvārī -decembrī. - Kreditoriem maksā , pamatojoties uz apmaksas termiņiem , veikti pārskaitījumi ieguldot līdzekļus dārgajos pamatlīdzekļos. operāciju zāles izveidei.</t>
  </si>
  <si>
    <t>2022.gada janvāra-decembra peļņas plāns neprecīzs. -  ieņēmumi  valsts apmaksātajiem veselības aprūpes pakalpojumiem lielāki un  izdevumi maksimāli, iespēju robežās samazināti.</t>
  </si>
  <si>
    <t>2022.gada janvārī - decembrī  ir mainījusies  ieņēmumu un izdevumu posteņu proporcija -ieņēmumi 2022. gada attiecīgajā periodā palielinājušies par 9.25% eiro, bet izdevumi palielinājušies  par 7.67 % eiro, salīdzinoši ar 2021. gada janvāri - decembri.</t>
  </si>
  <si>
    <t>2022. gada janvāra- decembra plāns parādiem piegādātājiem (garantijas summa, apmaksai 60 mēnešus pēc objekta nodošanas) sastādīts pamatojoties uz attiecīgā 2021. gada izpildi. 2022 gada attiecīgajā periodā palielinājums par 17309 eiro - izpildītie darbi lielāks apjoms.</t>
  </si>
  <si>
    <t xml:space="preserve">2022.gada janvārī - decembra nākamo periodu ieņēmumi ir samazinājušies, salīdzinoši ar 2021.gada janvāri - decembri - 2022.gada janvāra - decembra parādi piegādātājiem (LAGRON SIA, Guliver Construction, PS) kā garantijas summa projektu izdevumos ir palielinājies, salīdzinoši ar 2021.gada attiecīgo periodu. </t>
  </si>
  <si>
    <t>2022.gada janvārī -decembrī plānots par maz krājumiem, pamatojoties uz esošo situāciju - militāro agresiju pret Ukrainu 2022. gadā. ir veidoti papildus krājumi , lai būtu nepārtrauktība kritisko pakalpojumu sniegšanā.  Avana maksājumi ir plānoti saskaņā ar 2021. gada izpildi.</t>
  </si>
  <si>
    <t>2022.gada janvārī - decembrī  ir palielinājums avansa maksājumiem par precēm, izejvielām, pamatmateriāliem un materiāliem, palielinājums krājumiem - tika veidoti zāļu un medicīnisko preču krājumi vismaz pāris mēnešus uz priekšu,  nodrošinot Slimnīcas darbības nepārtaruktību,  salīdzinoši ar 2021.gada attiecīgo periodu.</t>
  </si>
  <si>
    <t>2022.gada janvāra - decembra plāns  licencēm plānots, pamatojoties uz 2021.gada izpildi, jo ir iegādāta licence datu loģistikai un EKG datu arhivācijas sistēmas programmnodrošinājums un Belimed iekārtu ciklu parametru uzskaites datoprogramma, pamatā licences u.c. nemateriālie ieguldījumi tiek nomāti.</t>
  </si>
  <si>
    <t>2022.gada janvārī - decembrī nemateriālie ieguldījumi bilancē ir palielinājums ar attiecīgo periodu 2021. gadā, jo ir iegādāta licence datu loģistikai un EKG datu arhivācijas sistēmas programmnodrošinājums un Belimed iekārtu ciklu parametru uzskaites datoprogramma, pamatā licences u.c. nemateriālie ieguldījumi tiek nomāti.</t>
  </si>
  <si>
    <t>Samazinoties Covid 19 ierobežojumiem atsākusies plānveida operāciju sniegšana. 2022. gada janvāra - decembra plāns ir neprecīzs - parādiem piegādātājiem, nodokļiem un saņemtiem avansiem no fiziskām personām un pārējiem kreditoriem (darba algas izmaksas plānā paredzētas lielākas).</t>
  </si>
  <si>
    <r>
      <t>2022.gada janvārī - decembrī īstermiņa kreditoriem ir palielinājums salīdzinoši ar 2021. gada attiecī</t>
    </r>
    <r>
      <rPr>
        <b/>
        <sz val="14"/>
        <rFont val="Times New Roman"/>
        <family val="1"/>
      </rPr>
      <t>g</t>
    </r>
    <r>
      <rPr>
        <sz val="14"/>
        <rFont val="Times New Roman"/>
        <family val="1"/>
      </rPr>
      <t>o periodu - nodokļiem  2022. gada attiecīgajā periodā pievienotā vērtības nodokļa likmes pieaugumam starpība,  parādi piegādātājiem - uz komunālo cenu pieauguma pamata, cenu kāpums precēm un pakalpojumiem, uzkrātām saistībām 2022. gada attiecīgajā periodā, pamatojoties uz atlīdzības pieaugumu, pieaug neizmantotie atvaļinājumi, nākamo periodu ieņēmumiem - projektu ietvaros iegādātiem pamatlīdzekļiem nolietojuma pieaugums, pieaugums no fiziskām personām saņemtā priekšapmaksa par operācijām, salīdzinoši ar attiecīgā 2021. gada periodu.</t>
    </r>
  </si>
  <si>
    <t>2022.gad janvārī - decembrī pamatlīdzekļu izveidošanai,  celtniecībai ir neprecīzs plāns -   Nacionālā veselības dienesta projekta ietvaros jaunas endoprotezēšanas operāciju zāles izveidei izlietoti vairāk naudas līdzekļi kā plānots. Uz 2022. gada 8. decembri objekts tika nodots ekspluatācijā. 2022.gada janvārī - decembrī lielākā pamatlīdzekļu iegāde: ultrasonogrāfijas iekārta - 1 gb, veļas mazgājamā mašīna mopiem - 1 gb, perfusoru, infusomatu - 24 gb iegāde, mākslīgo plaušu ventilācijas iekārtu - 2 gb iegāde, dezinfekcijas iekārtu virsmām - 2 gb iegāde.</t>
  </si>
  <si>
    <t>2022.gada janvārī - decembrī  palielinājušies ilgtermiņa ieguldījumi, salīdzinoši ar 2021.gada attiecīgo periodu - 2021. gada janvārī - decembrī  aktīvi tika ieguldīti līdzekļi ERAF projektā nepabeigtā celtniecībā. Uz 01.01.2022. projekts ir noslēdzies, uz 2022. gada 8. decembri noslēdzies NACIONĀLĀ VESELĪBAS DIENESTA projekts un tāpēc ir palielinājums  pamatlīdzekļos - ēkas un iegādāti pamatlīdzekļi un iekārtas operāciju zāles izveidei, sekojoši samazinājums pamatlīdzekļu izveidosanā.</t>
  </si>
  <si>
    <t>2022. gada janvārī - decembrī plāns debitoriem sastādīts mazāks nekā 2021.gada I-IV cet.  - Pircēju, pasūtītāju parādi pieaguši par 16%, salīdzinoši ar 2021. gada attiecīgo periodu.</t>
  </si>
  <si>
    <t>2022. gada janvārī - dectembrī palielinājums debitoriem - Pircēju, pasūtītāju parādiem par 748110 eiro, salīdzinoši ar 2021. gada attiecīgo periodu, palielinājums Nacionālais veselības dienests stacionārajiem pakalpojumiem par 288493 eiro, Nacionālais veselības dienests par ambulatorajiem pakalpojumiem palielinājums par 76728 eiro.</t>
  </si>
  <si>
    <t>Rimšs Pēteris</t>
  </si>
  <si>
    <t>Besedin Yury</t>
  </si>
  <si>
    <t>Zīle Jānis</t>
  </si>
  <si>
    <t>Hofmanis Einārs</t>
  </si>
  <si>
    <t>Pārējie - 23gb</t>
  </si>
  <si>
    <t>RĪGAS SILTUMS, AS</t>
  </si>
  <si>
    <t>Pārējie - 57 gb</t>
  </si>
  <si>
    <t>Pārējie - 14 gb</t>
  </si>
  <si>
    <t>Nacionālais veselības akreditācijas birojs VA</t>
  </si>
  <si>
    <t>Infotrust SIA</t>
  </si>
  <si>
    <t>Slimību profilakses centrs</t>
  </si>
  <si>
    <t>Pārējie - 6389gb</t>
  </si>
  <si>
    <t>Nomas pakalpojumi</t>
  </si>
  <si>
    <t>Uzkrājumi veidoti EUR 186416</t>
  </si>
  <si>
    <t>Aklreditācijas novertējums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</si>
</sst>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 #,##0.00_-;\-&quot;€&quot;\ * #,##0.00_-;_-&quot;€&quot;\ * &quot;-&quot;??_-;_-@_-"/>
    <numFmt numFmtId="165" formatCode="_-* #,##0.00\ _€_-;\-* #,##0.00\ _€_-;_-* &quot;-&quot;??\ _€_-;_-@_-"/>
    <numFmt numFmtId="166" formatCode="0.0%"/>
    <numFmt numFmtId="167" formatCode="_-* #,##0.00\ _L_s_-;\-* #,##0.00\ _L_s_-;_-* &quot;-&quot;??\ _L_s_-;_-@_-"/>
    <numFmt numFmtId="168" formatCode="#,##0\ _€"/>
  </numFmts>
  <fonts count="88"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font>
    <font>
      <sz val="11"/>
      <color indexed="8"/>
      <name val="Calibri"/>
      <family val="2"/>
    </font>
    <font>
      <sz val="12"/>
      <color indexed="8"/>
      <name val="Times New Roman"/>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4"/>
      <name val="Calibri"/>
      <family val="2"/>
      <charset val="186"/>
    </font>
    <font>
      <b/>
      <sz val="13"/>
      <color indexed="54"/>
      <name val="Calibri"/>
      <family val="2"/>
      <charset val="186"/>
    </font>
    <font>
      <b/>
      <sz val="11"/>
      <color indexed="54"/>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8"/>
      <color indexed="54"/>
      <name val="Calibri Light"/>
      <family val="2"/>
      <charset val="186"/>
    </font>
    <font>
      <b/>
      <sz val="11"/>
      <color indexed="8"/>
      <name val="Calibri"/>
      <family val="2"/>
      <charset val="186"/>
    </font>
    <font>
      <sz val="11"/>
      <color indexed="10"/>
      <name val="Calibri"/>
      <family val="2"/>
      <charset val="186"/>
    </font>
    <font>
      <sz val="10"/>
      <name val="Helv"/>
      <charset val="186"/>
    </font>
    <font>
      <b/>
      <sz val="15"/>
      <color indexed="56"/>
      <name val="Calibri"/>
      <family val="2"/>
      <charset val="186"/>
    </font>
    <font>
      <b/>
      <sz val="13"/>
      <color indexed="56"/>
      <name val="Calibri"/>
      <family val="2"/>
      <charset val="186"/>
    </font>
    <font>
      <b/>
      <sz val="11"/>
      <color indexed="56"/>
      <name val="Calibri"/>
      <family val="2"/>
      <charset val="186"/>
    </font>
    <font>
      <u/>
      <sz val="10"/>
      <color indexed="12"/>
      <name val="Arial"/>
      <family val="2"/>
      <charset val="186"/>
    </font>
    <font>
      <sz val="12"/>
      <color indexed="8"/>
      <name val="Calibri"/>
      <family val="2"/>
      <charset val="186"/>
    </font>
    <font>
      <sz val="10"/>
      <color indexed="8"/>
      <name val="MS Sans Serif"/>
      <family val="2"/>
      <charset val="186"/>
    </font>
    <font>
      <sz val="12"/>
      <name val="Times New Roman"/>
      <family val="1"/>
      <charset val="186"/>
    </font>
    <font>
      <sz val="10"/>
      <name val="Garamond"/>
      <family val="1"/>
      <charset val="186"/>
    </font>
    <font>
      <sz val="10"/>
      <name val="Tahoma"/>
      <family val="2"/>
      <charset val="186"/>
    </font>
    <font>
      <b/>
      <sz val="18"/>
      <color indexed="56"/>
      <name val="Cambria"/>
      <family val="2"/>
      <charset val="186"/>
    </font>
    <font>
      <sz val="11"/>
      <color theme="1"/>
      <name val="Calibri"/>
      <family val="2"/>
      <scheme val="minor"/>
    </font>
    <font>
      <sz val="14"/>
      <name val="Arial"/>
      <family val="2"/>
      <charset val="186"/>
    </font>
    <font>
      <sz val="14"/>
      <name val="Times New Roman"/>
      <family val="1"/>
    </font>
    <font>
      <b/>
      <sz val="14"/>
      <name val="Times New Roman"/>
      <family val="1"/>
    </font>
    <font>
      <i/>
      <sz val="14"/>
      <name val="Times New Roman"/>
      <family val="1"/>
    </font>
    <font>
      <b/>
      <i/>
      <sz val="14"/>
      <name val="Times New Roman"/>
      <family val="1"/>
    </font>
    <font>
      <b/>
      <u/>
      <sz val="14"/>
      <name val="Times New Roman"/>
      <family val="1"/>
    </font>
    <font>
      <b/>
      <sz val="14"/>
      <name val="Times New Roman"/>
      <family val="1"/>
      <charset val="186"/>
    </font>
    <font>
      <sz val="14"/>
      <name val="Times New Roman"/>
      <family val="1"/>
      <charset val="186"/>
    </font>
    <font>
      <vertAlign val="superscript"/>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vertAlign val="superscript"/>
      <sz val="10"/>
      <name val="Times New Roman"/>
      <family val="1"/>
    </font>
    <font>
      <i/>
      <sz val="10"/>
      <name val="Times New Roman"/>
      <family val="1"/>
    </font>
    <font>
      <sz val="14"/>
      <color rgb="FF000000"/>
      <name val="Times New Roman"/>
      <family val="1"/>
      <charset val="186"/>
    </font>
    <font>
      <i/>
      <sz val="12"/>
      <name val="Times New Roman"/>
      <family val="1"/>
    </font>
    <font>
      <vertAlign val="superscript"/>
      <sz val="12"/>
      <name val="Times New Roman"/>
      <family val="1"/>
    </font>
    <font>
      <sz val="12"/>
      <color rgb="FFFF0000"/>
      <name val="Times New Roman"/>
      <family val="1"/>
    </font>
    <font>
      <b/>
      <i/>
      <sz val="12"/>
      <name val="Times New Roman"/>
      <family val="1"/>
    </font>
    <font>
      <b/>
      <sz val="12"/>
      <color indexed="9"/>
      <name val="Times New Roman"/>
      <family val="1"/>
    </font>
    <font>
      <b/>
      <u/>
      <sz val="12"/>
      <name val="Times New Roman"/>
      <family val="1"/>
    </font>
    <font>
      <b/>
      <i/>
      <sz val="14"/>
      <name val="Times New Roman"/>
      <family val="1"/>
      <charset val="186"/>
    </font>
    <font>
      <i/>
      <sz val="14"/>
      <color rgb="FFFF0000"/>
      <name val="Times New Roman"/>
      <family val="1"/>
    </font>
    <font>
      <b/>
      <sz val="10"/>
      <color rgb="FFFF0000"/>
      <name val="Times New Roman"/>
      <family val="1"/>
    </font>
    <font>
      <sz val="10"/>
      <color rgb="FFFF0000"/>
      <name val="Times New Roman"/>
      <family val="1"/>
    </font>
    <font>
      <b/>
      <sz val="12"/>
      <color rgb="FFFF0000"/>
      <name val="Times New Roman"/>
      <family val="1"/>
    </font>
    <font>
      <sz val="12"/>
      <name val="Arial"/>
      <family val="2"/>
      <charset val="186"/>
    </font>
    <font>
      <b/>
      <sz val="12"/>
      <name val="Times New Roman"/>
      <family val="1"/>
      <charset val="186"/>
    </font>
    <font>
      <sz val="10"/>
      <name val="Times New Roman"/>
      <family val="1"/>
      <charset val="186"/>
    </font>
    <font>
      <sz val="13"/>
      <name val="Times New Roman"/>
      <family val="1"/>
      <charset val="186"/>
    </font>
    <font>
      <i/>
      <sz val="13"/>
      <name val="Times New Roman"/>
      <family val="1"/>
      <charset val="186"/>
    </font>
    <font>
      <vertAlign val="superscript"/>
      <sz val="13"/>
      <name val="Times New Roman"/>
      <family val="1"/>
      <charset val="186"/>
    </font>
    <font>
      <b/>
      <sz val="13"/>
      <name val="Times New Roman"/>
      <family val="1"/>
      <charset val="186"/>
    </font>
    <font>
      <b/>
      <i/>
      <sz val="13"/>
      <name val="Times New Roman"/>
      <family val="1"/>
      <charset val="186"/>
    </font>
    <font>
      <sz val="13"/>
      <color rgb="FFFF0000"/>
      <name val="Times New Roman"/>
      <family val="1"/>
      <charset val="186"/>
    </font>
    <font>
      <b/>
      <sz val="13"/>
      <color rgb="FFFF0000"/>
      <name val="Times New Roman"/>
      <family val="1"/>
      <charset val="186"/>
    </font>
    <font>
      <sz val="12"/>
      <color theme="1"/>
      <name val="Times New Roman"/>
      <family val="1"/>
    </font>
    <font>
      <b/>
      <sz val="12"/>
      <color theme="1"/>
      <name val="Times New Roman"/>
      <family val="1"/>
    </font>
    <font>
      <b/>
      <u/>
      <sz val="12"/>
      <color theme="1"/>
      <name val="Times New Roman"/>
      <family val="1"/>
    </font>
    <font>
      <sz val="13"/>
      <color theme="1"/>
      <name val="Times New Roman"/>
      <family val="1"/>
      <charset val="186"/>
    </font>
    <font>
      <i/>
      <sz val="13"/>
      <color theme="1"/>
      <name val="Times New Roman"/>
      <family val="1"/>
      <charset val="186"/>
    </font>
    <font>
      <b/>
      <sz val="13"/>
      <color theme="1"/>
      <name val="Times New Roman"/>
      <family val="1"/>
      <charset val="186"/>
    </font>
    <font>
      <b/>
      <i/>
      <sz val="13"/>
      <color theme="1"/>
      <name val="Times New Roman"/>
      <family val="1"/>
      <charset val="186"/>
    </font>
    <font>
      <b/>
      <vertAlign val="superscript"/>
      <sz val="13"/>
      <color theme="1"/>
      <name val="Times New Roman"/>
      <family val="1"/>
      <charset val="186"/>
    </font>
    <font>
      <sz val="10"/>
      <color rgb="FFFF0000"/>
      <name val="Arial"/>
      <family val="2"/>
      <charset val="186"/>
    </font>
    <font>
      <sz val="8"/>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9"/>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2"/>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D9D9D9"/>
        <bgColor rgb="FF000000"/>
      </patternFill>
    </fill>
    <fill>
      <patternFill patternType="solid">
        <fgColor rgb="FFFFFFFF"/>
        <bgColor rgb="FF000000"/>
      </patternFill>
    </fill>
    <fill>
      <patternFill patternType="solid">
        <fgColor theme="0" tint="-0.14999847407452621"/>
        <bgColor rgb="FF000000"/>
      </patternFill>
    </fill>
    <fill>
      <patternFill patternType="solid">
        <fgColor theme="2" tint="-9.9978637043366805E-2"/>
        <bgColor rgb="FF000000"/>
      </patternFill>
    </fill>
    <fill>
      <patternFill patternType="solid">
        <fgColor theme="0" tint="-4.9989318521683403E-2"/>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indexed="64"/>
      </left>
      <right/>
      <top/>
      <bottom style="thin">
        <color indexed="64"/>
      </bottom>
      <diagonal/>
    </border>
    <border>
      <left style="thin">
        <color rgb="FF000000"/>
      </left>
      <right style="thin">
        <color rgb="FF000000"/>
      </right>
      <top/>
      <bottom/>
      <diagonal/>
    </border>
  </borders>
  <cellStyleXfs count="1490">
    <xf numFmtId="0" fontId="0" fillId="0" borderId="0"/>
    <xf numFmtId="0" fontId="8" fillId="0" borderId="0"/>
    <xf numFmtId="0" fontId="8" fillId="0" borderId="0"/>
    <xf numFmtId="0" fontId="7" fillId="0" borderId="0"/>
    <xf numFmtId="0" fontId="6" fillId="0" borderId="0"/>
    <xf numFmtId="0" fontId="8" fillId="0" borderId="0"/>
    <xf numFmtId="0" fontId="8" fillId="0" borderId="0"/>
    <xf numFmtId="0" fontId="5" fillId="0" borderId="0"/>
    <xf numFmtId="0" fontId="4" fillId="0" borderId="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29"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1"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5" fillId="16" borderId="10"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0" fontId="16" fillId="30" borderId="11" applyNumberFormat="0" applyAlignment="0" applyProtection="0"/>
    <xf numFmtId="41" fontId="8" fillId="0" borderId="0" applyFont="0" applyFill="0" applyBorder="0" applyAlignment="0" applyProtection="0"/>
    <xf numFmtId="165" fontId="1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19"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4"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21" fillId="0" borderId="16"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0" borderId="10" applyNumberFormat="0" applyAlignment="0" applyProtection="0"/>
    <xf numFmtId="0" fontId="22" fillId="10"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2" fillId="16" borderId="10" applyNumberFormat="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2"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 fillId="0" borderId="0"/>
    <xf numFmtId="0" fontId="11"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0" borderId="0"/>
    <xf numFmtId="0" fontId="12" fillId="0" borderId="0"/>
    <xf numFmtId="0" fontId="12" fillId="0" borderId="0"/>
    <xf numFmtId="0" fontId="8" fillId="0" borderId="0"/>
    <xf numFmtId="0" fontId="35"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3" fillId="0" borderId="0"/>
    <xf numFmtId="0" fontId="3" fillId="0" borderId="0"/>
    <xf numFmtId="0" fontId="12" fillId="0" borderId="0"/>
    <xf numFmtId="0" fontId="8" fillId="0" borderId="0"/>
    <xf numFmtId="0" fontId="8" fillId="0" borderId="0"/>
    <xf numFmtId="0" fontId="8" fillId="0" borderId="0"/>
    <xf numFmtId="0" fontId="8"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37" fillId="0" borderId="0" applyFont="0" applyFill="0" applyAlignment="0" applyProtection="0"/>
    <xf numFmtId="0" fontId="37" fillId="0" borderId="0" applyFont="0" applyFill="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35" fillId="14" borderId="19" applyNumberFormat="0" applyFont="0" applyAlignment="0" applyProtection="0"/>
    <xf numFmtId="0" fontId="3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8" fillId="14" borderId="19" applyNumberFormat="0" applyFon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0" fontId="25" fillId="16" borderId="20"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1"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9" fillId="0" borderId="0"/>
    <xf numFmtId="0" fontId="8"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846">
    <xf numFmtId="0" fontId="0" fillId="0" borderId="0" xfId="0"/>
    <xf numFmtId="3" fontId="42" fillId="0" borderId="1" xfId="0" applyNumberFormat="1" applyFont="1" applyBorder="1" applyAlignment="1">
      <alignment horizontal="center" vertical="center" wrapText="1"/>
    </xf>
    <xf numFmtId="3" fontId="42" fillId="3" borderId="1" xfId="0" applyNumberFormat="1" applyFont="1" applyFill="1" applyBorder="1" applyAlignment="1" applyProtection="1">
      <alignment horizontal="right" vertical="center"/>
      <protection locked="0"/>
    </xf>
    <xf numFmtId="3" fontId="42" fillId="0" borderId="1" xfId="0" applyNumberFormat="1" applyFont="1" applyBorder="1" applyAlignment="1" applyProtection="1">
      <alignment horizontal="right" vertical="center"/>
      <protection locked="0"/>
    </xf>
    <xf numFmtId="3" fontId="42" fillId="0" borderId="0" xfId="0" applyNumberFormat="1" applyFont="1" applyAlignment="1">
      <alignment vertical="center"/>
    </xf>
    <xf numFmtId="0" fontId="41" fillId="0" borderId="0" xfId="0" applyFont="1" applyAlignment="1">
      <alignment vertical="center"/>
    </xf>
    <xf numFmtId="3" fontId="42" fillId="3" borderId="1" xfId="6" applyNumberFormat="1" applyFont="1" applyFill="1" applyBorder="1" applyAlignment="1" applyProtection="1">
      <alignment horizontal="right" vertical="center"/>
      <protection locked="0"/>
    </xf>
    <xf numFmtId="3" fontId="44" fillId="5" borderId="1" xfId="0" applyNumberFormat="1" applyFont="1" applyFill="1" applyBorder="1" applyAlignment="1">
      <alignment horizontal="center" vertical="center" wrapText="1"/>
    </xf>
    <xf numFmtId="0" fontId="42" fillId="0" borderId="1" xfId="0" applyFont="1" applyBorder="1" applyAlignment="1">
      <alignment horizontal="center" vertical="center"/>
    </xf>
    <xf numFmtId="0" fontId="42" fillId="0" borderId="0" xfId="0" applyFont="1" applyProtection="1">
      <protection locked="0"/>
    </xf>
    <xf numFmtId="0" fontId="42" fillId="0" borderId="1" xfId="6" applyFont="1" applyBorder="1" applyAlignment="1">
      <alignment horizontal="center" vertical="center"/>
    </xf>
    <xf numFmtId="3" fontId="42" fillId="0" borderId="1" xfId="1" applyNumberFormat="1" applyFont="1" applyBorder="1" applyAlignment="1">
      <alignment horizontal="center" vertical="center" wrapText="1"/>
    </xf>
    <xf numFmtId="0" fontId="42" fillId="0" borderId="0" xfId="0" applyFont="1" applyAlignment="1">
      <alignment vertical="center"/>
    </xf>
    <xf numFmtId="3" fontId="42" fillId="0" borderId="1" xfId="6" applyNumberFormat="1" applyFont="1" applyBorder="1" applyAlignment="1">
      <alignment horizontal="left" vertical="center" wrapText="1"/>
    </xf>
    <xf numFmtId="3" fontId="42" fillId="0" borderId="1" xfId="6" applyNumberFormat="1" applyFont="1" applyBorder="1" applyAlignment="1">
      <alignment vertical="center" wrapText="1"/>
    </xf>
    <xf numFmtId="49" fontId="43" fillId="2" borderId="5" xfId="6" applyNumberFormat="1" applyFont="1" applyFill="1" applyBorder="1" applyAlignment="1">
      <alignment horizontal="center" vertical="center"/>
    </xf>
    <xf numFmtId="0" fontId="43" fillId="2" borderId="7" xfId="6" applyFont="1" applyFill="1" applyBorder="1" applyAlignment="1">
      <alignment vertical="center" wrapText="1"/>
    </xf>
    <xf numFmtId="3" fontId="43" fillId="2" borderId="1" xfId="6" applyNumberFormat="1" applyFont="1" applyFill="1" applyBorder="1" applyAlignment="1">
      <alignment horizontal="center" vertical="center"/>
    </xf>
    <xf numFmtId="3" fontId="45" fillId="2" borderId="3" xfId="6" applyNumberFormat="1" applyFont="1" applyFill="1" applyBorder="1" applyAlignment="1">
      <alignment horizontal="center" vertical="center"/>
    </xf>
    <xf numFmtId="3" fontId="45" fillId="2" borderId="1" xfId="6" applyNumberFormat="1" applyFont="1" applyFill="1" applyBorder="1" applyAlignment="1">
      <alignment horizontal="center" vertical="center"/>
    </xf>
    <xf numFmtId="49" fontId="43" fillId="4" borderId="5" xfId="6" applyNumberFormat="1" applyFont="1" applyFill="1" applyBorder="1" applyAlignment="1">
      <alignment horizontal="center" vertical="center"/>
    </xf>
    <xf numFmtId="0" fontId="43" fillId="4" borderId="4" xfId="6" applyFont="1" applyFill="1" applyBorder="1" applyAlignment="1">
      <alignment vertical="center" wrapText="1"/>
    </xf>
    <xf numFmtId="3" fontId="43" fillId="4" borderId="1" xfId="6" applyNumberFormat="1" applyFont="1" applyFill="1" applyBorder="1" applyAlignment="1">
      <alignment horizontal="center" vertical="center"/>
    </xf>
    <xf numFmtId="3" fontId="45" fillId="4" borderId="1" xfId="6" applyNumberFormat="1" applyFont="1" applyFill="1" applyBorder="1" applyAlignment="1">
      <alignment horizontal="center" vertical="center"/>
    </xf>
    <xf numFmtId="49" fontId="42" fillId="0" borderId="5" xfId="6" applyNumberFormat="1" applyFont="1" applyBorder="1" applyAlignment="1">
      <alignment horizontal="center" vertical="center"/>
    </xf>
    <xf numFmtId="49" fontId="42" fillId="0" borderId="1" xfId="6" applyNumberFormat="1" applyFont="1" applyBorder="1" applyAlignment="1">
      <alignment horizontal="center" vertical="center"/>
    </xf>
    <xf numFmtId="0" fontId="43" fillId="2" borderId="4" xfId="6" applyFont="1" applyFill="1" applyBorder="1" applyAlignment="1">
      <alignment vertical="center" wrapText="1"/>
    </xf>
    <xf numFmtId="0" fontId="42" fillId="0" borderId="1" xfId="0" applyFont="1" applyBorder="1" applyAlignment="1">
      <alignment horizontal="left" vertical="center" wrapText="1" readingOrder="1"/>
    </xf>
    <xf numFmtId="49" fontId="43" fillId="2" borderId="1" xfId="6" applyNumberFormat="1" applyFont="1" applyFill="1" applyBorder="1" applyAlignment="1">
      <alignment horizontal="center" vertical="center"/>
    </xf>
    <xf numFmtId="3" fontId="43" fillId="2" borderId="1" xfId="6" applyNumberFormat="1" applyFont="1" applyFill="1" applyBorder="1" applyAlignment="1">
      <alignment vertical="center" wrapText="1"/>
    </xf>
    <xf numFmtId="49" fontId="43" fillId="31" borderId="1" xfId="6" applyNumberFormat="1" applyFont="1" applyFill="1" applyBorder="1" applyAlignment="1">
      <alignment horizontal="center" vertical="center"/>
    </xf>
    <xf numFmtId="3" fontId="43" fillId="31" borderId="1" xfId="6" applyNumberFormat="1" applyFont="1" applyFill="1" applyBorder="1" applyAlignment="1">
      <alignment horizontal="center" vertical="center"/>
    </xf>
    <xf numFmtId="3" fontId="44" fillId="0" borderId="1" xfId="6" applyNumberFormat="1" applyFont="1" applyBorder="1" applyAlignment="1">
      <alignment horizontal="left" vertical="center" wrapText="1" indent="2"/>
    </xf>
    <xf numFmtId="3" fontId="43" fillId="31" borderId="1" xfId="6" applyNumberFormat="1" applyFont="1" applyFill="1" applyBorder="1" applyAlignment="1">
      <alignment horizontal="left" vertical="center" wrapText="1"/>
    </xf>
    <xf numFmtId="3" fontId="43" fillId="31" borderId="1" xfId="0" applyNumberFormat="1" applyFont="1" applyFill="1" applyBorder="1" applyAlignment="1">
      <alignment horizontal="center" vertical="center"/>
    </xf>
    <xf numFmtId="3" fontId="45" fillId="31" borderId="1" xfId="0" applyNumberFormat="1" applyFont="1" applyFill="1" applyBorder="1" applyAlignment="1">
      <alignment horizontal="center" vertical="center"/>
    </xf>
    <xf numFmtId="49" fontId="42" fillId="0" borderId="0" xfId="6" applyNumberFormat="1" applyFont="1" applyAlignment="1">
      <alignment horizontal="center" vertical="center"/>
    </xf>
    <xf numFmtId="3" fontId="42" fillId="0" borderId="0" xfId="6" applyNumberFormat="1" applyFont="1" applyAlignment="1">
      <alignment horizontal="left" vertical="center" wrapText="1"/>
    </xf>
    <xf numFmtId="3" fontId="42" fillId="0" borderId="0" xfId="6" applyNumberFormat="1" applyFont="1" applyAlignment="1">
      <alignment horizontal="right" vertical="center" wrapText="1"/>
    </xf>
    <xf numFmtId="3" fontId="42" fillId="0" borderId="0" xfId="0" applyNumberFormat="1" applyFont="1" applyAlignment="1">
      <alignment horizontal="right" vertical="center"/>
    </xf>
    <xf numFmtId="3" fontId="42" fillId="0" borderId="0" xfId="6" applyNumberFormat="1" applyFont="1" applyAlignment="1">
      <alignment horizontal="right" vertical="center"/>
    </xf>
    <xf numFmtId="3" fontId="44" fillId="0" borderId="0" xfId="0" applyNumberFormat="1" applyFont="1" applyAlignment="1">
      <alignment horizontal="center" vertical="center"/>
    </xf>
    <xf numFmtId="3" fontId="44" fillId="0" borderId="0" xfId="6" applyNumberFormat="1" applyFont="1" applyAlignment="1">
      <alignment horizontal="center" vertical="center"/>
    </xf>
    <xf numFmtId="0" fontId="42" fillId="0" borderId="0" xfId="0" applyFont="1" applyAlignment="1">
      <alignment vertical="center" wrapText="1"/>
    </xf>
    <xf numFmtId="0" fontId="44" fillId="0" borderId="0" xfId="0" applyFont="1" applyAlignment="1">
      <alignment horizontal="center" vertical="center"/>
    </xf>
    <xf numFmtId="3" fontId="45" fillId="2" borderId="1" xfId="6" applyNumberFormat="1" applyFont="1" applyFill="1" applyBorder="1" applyAlignment="1" applyProtection="1">
      <alignment horizontal="center" vertical="center" wrapText="1"/>
      <protection locked="0"/>
    </xf>
    <xf numFmtId="3" fontId="42" fillId="5" borderId="1" xfId="0" applyNumberFormat="1" applyFont="1" applyFill="1" applyBorder="1" applyAlignment="1">
      <alignment horizontal="center" vertical="center" wrapText="1"/>
    </xf>
    <xf numFmtId="49" fontId="44" fillId="3" borderId="1" xfId="6" applyNumberFormat="1" applyFont="1" applyFill="1" applyBorder="1" applyAlignment="1" applyProtection="1">
      <alignment horizontal="left" vertical="center"/>
      <protection locked="0"/>
    </xf>
    <xf numFmtId="49" fontId="44" fillId="3" borderId="1" xfId="0" applyNumberFormat="1" applyFont="1" applyFill="1" applyBorder="1" applyAlignment="1" applyProtection="1">
      <alignment horizontal="left" vertical="center"/>
      <protection locked="0"/>
    </xf>
    <xf numFmtId="49" fontId="44" fillId="0" borderId="1" xfId="6" applyNumberFormat="1" applyFont="1" applyBorder="1" applyAlignment="1" applyProtection="1">
      <alignment horizontal="left" vertical="center"/>
      <protection locked="0"/>
    </xf>
    <xf numFmtId="49" fontId="45" fillId="2" borderId="1" xfId="6" applyNumberFormat="1" applyFont="1" applyFill="1" applyBorder="1" applyAlignment="1" applyProtection="1">
      <alignment horizontal="left" vertical="center" wrapText="1"/>
      <protection locked="0"/>
    </xf>
    <xf numFmtId="9" fontId="44" fillId="3" borderId="1" xfId="12" applyFont="1" applyFill="1" applyBorder="1" applyAlignment="1" applyProtection="1">
      <alignment horizontal="center" vertical="center"/>
    </xf>
    <xf numFmtId="9" fontId="44" fillId="0" borderId="1" xfId="12" applyFont="1" applyFill="1" applyBorder="1" applyAlignment="1" applyProtection="1">
      <alignment horizontal="center" vertical="center"/>
    </xf>
    <xf numFmtId="3" fontId="42" fillId="0" borderId="2" xfId="12" applyNumberFormat="1" applyFont="1" applyFill="1" applyBorder="1" applyAlignment="1" applyProtection="1">
      <alignment horizontal="right" vertical="center" wrapText="1"/>
    </xf>
    <xf numFmtId="49" fontId="44" fillId="3" borderId="1" xfId="12" applyNumberFormat="1" applyFont="1" applyFill="1" applyBorder="1" applyAlignment="1" applyProtection="1">
      <alignment horizontal="left" vertical="center"/>
    </xf>
    <xf numFmtId="49" fontId="44" fillId="0" borderId="1" xfId="12" applyNumberFormat="1" applyFont="1" applyFill="1" applyBorder="1" applyAlignment="1" applyProtection="1">
      <alignment horizontal="left" vertical="center"/>
    </xf>
    <xf numFmtId="3" fontId="44" fillId="0" borderId="1" xfId="6" applyNumberFormat="1" applyFont="1" applyBorder="1" applyAlignment="1" applyProtection="1">
      <alignment horizontal="center" vertical="center"/>
      <protection locked="0"/>
    </xf>
    <xf numFmtId="9" fontId="44" fillId="0" borderId="1" xfId="12" applyFont="1" applyFill="1" applyBorder="1" applyAlignment="1" applyProtection="1">
      <alignment horizontal="center" vertical="center"/>
      <protection locked="0"/>
    </xf>
    <xf numFmtId="3" fontId="44" fillId="3" borderId="1" xfId="6" applyNumberFormat="1" applyFont="1" applyFill="1" applyBorder="1" applyAlignment="1" applyProtection="1">
      <alignment horizontal="center" vertical="center"/>
      <protection locked="0"/>
    </xf>
    <xf numFmtId="9" fontId="44" fillId="3" borderId="1" xfId="12" applyFont="1" applyFill="1" applyBorder="1" applyAlignment="1" applyProtection="1">
      <alignment horizontal="center" vertical="center"/>
      <protection locked="0"/>
    </xf>
    <xf numFmtId="3" fontId="44" fillId="3" borderId="1" xfId="0" applyNumberFormat="1" applyFont="1" applyFill="1" applyBorder="1" applyAlignment="1" applyProtection="1">
      <alignment horizontal="center" vertical="center"/>
      <protection locked="0"/>
    </xf>
    <xf numFmtId="3" fontId="44" fillId="0" borderId="2" xfId="12" applyNumberFormat="1" applyFont="1" applyFill="1" applyBorder="1" applyAlignment="1" applyProtection="1">
      <alignment horizontal="center" vertical="center" wrapText="1"/>
    </xf>
    <xf numFmtId="3" fontId="45" fillId="2" borderId="1" xfId="1" applyNumberFormat="1" applyFont="1" applyFill="1" applyBorder="1" applyAlignment="1" applyProtection="1">
      <alignment horizontal="center" vertical="center"/>
      <protection locked="0"/>
    </xf>
    <xf numFmtId="3" fontId="44" fillId="3" borderId="1" xfId="1" applyNumberFormat="1" applyFont="1" applyFill="1" applyBorder="1" applyAlignment="1" applyProtection="1">
      <alignment horizontal="center" vertical="center"/>
      <protection locked="0"/>
    </xf>
    <xf numFmtId="0" fontId="44" fillId="0" borderId="0" xfId="0" applyFont="1" applyAlignment="1" applyProtection="1">
      <alignment horizontal="center"/>
      <protection locked="0"/>
    </xf>
    <xf numFmtId="3" fontId="44" fillId="0" borderId="1" xfId="0" applyNumberFormat="1" applyFont="1" applyBorder="1" applyAlignment="1" applyProtection="1">
      <alignment horizontal="center" vertical="center"/>
      <protection locked="0"/>
    </xf>
    <xf numFmtId="0" fontId="51" fillId="0" borderId="0" xfId="1" applyFont="1" applyAlignment="1">
      <alignment vertical="center"/>
    </xf>
    <xf numFmtId="49" fontId="51" fillId="0" borderId="0" xfId="1" applyNumberFormat="1" applyFont="1" applyAlignment="1">
      <alignment horizontal="center" vertical="center"/>
    </xf>
    <xf numFmtId="0" fontId="50" fillId="0" borderId="0" xfId="1" applyFont="1" applyAlignment="1">
      <alignment vertical="center"/>
    </xf>
    <xf numFmtId="49" fontId="50" fillId="2" borderId="1" xfId="1" applyNumberFormat="1" applyFont="1" applyFill="1" applyBorder="1" applyAlignment="1">
      <alignment horizontal="center" vertical="center"/>
    </xf>
    <xf numFmtId="49" fontId="42" fillId="0" borderId="0" xfId="6" applyNumberFormat="1" applyFont="1" applyAlignment="1">
      <alignment horizontal="left" vertical="center"/>
    </xf>
    <xf numFmtId="3" fontId="44" fillId="5" borderId="1" xfId="12" applyNumberFormat="1" applyFont="1" applyFill="1" applyBorder="1" applyAlignment="1">
      <alignment horizontal="center" vertical="center" wrapText="1"/>
    </xf>
    <xf numFmtId="3" fontId="44" fillId="0" borderId="1" xfId="0" applyNumberFormat="1" applyFont="1" applyBorder="1" applyAlignment="1">
      <alignment horizontal="center" vertical="center" wrapText="1"/>
    </xf>
    <xf numFmtId="3" fontId="43" fillId="2" borderId="1" xfId="6" applyNumberFormat="1" applyFont="1" applyFill="1" applyBorder="1" applyAlignment="1">
      <alignment horizontal="right" vertical="center" wrapText="1"/>
    </xf>
    <xf numFmtId="3" fontId="45" fillId="2" borderId="1" xfId="6" applyNumberFormat="1" applyFont="1" applyFill="1" applyBorder="1" applyAlignment="1">
      <alignment horizontal="center" vertical="center" wrapText="1"/>
    </xf>
    <xf numFmtId="0" fontId="42" fillId="0" borderId="1" xfId="6" applyFont="1" applyBorder="1" applyAlignment="1" applyProtection="1">
      <alignment horizontal="center" vertical="center"/>
      <protection locked="0"/>
    </xf>
    <xf numFmtId="3" fontId="42" fillId="0" borderId="1" xfId="6" applyNumberFormat="1" applyFont="1" applyBorder="1" applyAlignment="1" applyProtection="1">
      <alignment horizontal="right" vertical="center" wrapText="1"/>
      <protection locked="0"/>
    </xf>
    <xf numFmtId="3" fontId="42" fillId="0" borderId="1" xfId="6" applyNumberFormat="1" applyFont="1" applyBorder="1" applyAlignment="1" applyProtection="1">
      <alignment horizontal="right" vertical="center"/>
      <protection locked="0"/>
    </xf>
    <xf numFmtId="9" fontId="44" fillId="0" borderId="1" xfId="12" applyFont="1" applyBorder="1" applyAlignment="1" applyProtection="1">
      <alignment horizontal="center" vertical="center"/>
      <protection locked="0"/>
    </xf>
    <xf numFmtId="49" fontId="52" fillId="0" borderId="1" xfId="1" applyNumberFormat="1" applyFont="1" applyBorder="1" applyAlignment="1">
      <alignment horizontal="center" vertical="center"/>
    </xf>
    <xf numFmtId="0" fontId="52" fillId="0" borderId="1" xfId="1" applyFont="1" applyBorder="1" applyAlignment="1">
      <alignment horizontal="center" vertical="center" wrapText="1"/>
    </xf>
    <xf numFmtId="49" fontId="52" fillId="2" borderId="1" xfId="5" applyNumberFormat="1" applyFont="1" applyFill="1" applyBorder="1" applyAlignment="1">
      <alignment horizontal="center" vertical="center"/>
    </xf>
    <xf numFmtId="3" fontId="52" fillId="2" borderId="1" xfId="6" applyNumberFormat="1" applyFont="1" applyFill="1" applyBorder="1" applyAlignment="1">
      <alignment horizontal="left" vertical="center" wrapText="1"/>
    </xf>
    <xf numFmtId="49" fontId="52" fillId="4" borderId="4" xfId="5" applyNumberFormat="1" applyFont="1" applyFill="1" applyBorder="1" applyAlignment="1">
      <alignment horizontal="center" vertical="center"/>
    </xf>
    <xf numFmtId="3" fontId="52" fillId="4" borderId="4" xfId="6" applyNumberFormat="1" applyFont="1" applyFill="1" applyBorder="1" applyAlignment="1">
      <alignment vertical="center" wrapText="1"/>
    </xf>
    <xf numFmtId="49" fontId="53" fillId="0" borderId="1" xfId="5" applyNumberFormat="1" applyFont="1" applyBorder="1" applyAlignment="1">
      <alignment horizontal="center" vertical="center"/>
    </xf>
    <xf numFmtId="0" fontId="53" fillId="0" borderId="1" xfId="1" applyFont="1" applyBorder="1" applyAlignment="1">
      <alignment vertical="center"/>
    </xf>
    <xf numFmtId="49" fontId="52" fillId="4" borderId="1" xfId="5" applyNumberFormat="1" applyFont="1" applyFill="1" applyBorder="1" applyAlignment="1">
      <alignment horizontal="center" vertical="center"/>
    </xf>
    <xf numFmtId="3" fontId="52" fillId="4" borderId="1" xfId="6" applyNumberFormat="1" applyFont="1" applyFill="1" applyBorder="1" applyAlignment="1">
      <alignment vertical="center" wrapText="1"/>
    </xf>
    <xf numFmtId="3" fontId="53" fillId="0" borderId="1" xfId="6" applyNumberFormat="1" applyFont="1" applyBorder="1" applyAlignment="1">
      <alignment vertical="center" wrapText="1"/>
    </xf>
    <xf numFmtId="0" fontId="53" fillId="0" borderId="1" xfId="0" applyFont="1" applyBorder="1" applyAlignment="1">
      <alignment vertical="center" wrapText="1"/>
    </xf>
    <xf numFmtId="49" fontId="52" fillId="0" borderId="1" xfId="5" applyNumberFormat="1" applyFont="1" applyBorder="1" applyAlignment="1">
      <alignment horizontal="center" vertical="center"/>
    </xf>
    <xf numFmtId="49" fontId="53" fillId="0" borderId="5" xfId="5" applyNumberFormat="1" applyFont="1" applyBorder="1" applyAlignment="1">
      <alignment horizontal="center" vertical="center"/>
    </xf>
    <xf numFmtId="0" fontId="51" fillId="0" borderId="1" xfId="1" applyFont="1" applyBorder="1" applyAlignment="1">
      <alignment vertical="center"/>
    </xf>
    <xf numFmtId="3" fontId="52" fillId="4" borderId="7" xfId="6" applyNumberFormat="1" applyFont="1" applyFill="1" applyBorder="1" applyAlignment="1">
      <alignment vertical="center" wrapText="1"/>
    </xf>
    <xf numFmtId="3" fontId="52" fillId="0" borderId="1" xfId="6" applyNumberFormat="1" applyFont="1" applyBorder="1" applyAlignment="1">
      <alignment horizontal="center" vertical="center" wrapText="1"/>
    </xf>
    <xf numFmtId="49" fontId="52" fillId="2" borderId="1" xfId="1" applyNumberFormat="1" applyFont="1" applyFill="1" applyBorder="1" applyAlignment="1">
      <alignment horizontal="center" vertical="center"/>
    </xf>
    <xf numFmtId="3" fontId="52" fillId="2" borderId="1" xfId="6" applyNumberFormat="1" applyFont="1" applyFill="1" applyBorder="1" applyAlignment="1">
      <alignment vertical="center" wrapText="1"/>
    </xf>
    <xf numFmtId="49" fontId="53" fillId="0" borderId="1" xfId="1" applyNumberFormat="1" applyFont="1" applyBorder="1" applyAlignment="1">
      <alignment horizontal="center" vertical="center"/>
    </xf>
    <xf numFmtId="3" fontId="53" fillId="3" borderId="1" xfId="6" applyNumberFormat="1" applyFont="1" applyFill="1" applyBorder="1" applyAlignment="1">
      <alignment vertical="center" wrapText="1"/>
    </xf>
    <xf numFmtId="0" fontId="52" fillId="2" borderId="1" xfId="1" applyFont="1" applyFill="1" applyBorder="1" applyAlignment="1">
      <alignment horizontal="left" vertical="center"/>
    </xf>
    <xf numFmtId="0" fontId="42" fillId="0" borderId="1" xfId="1467" applyFont="1" applyBorder="1" applyAlignment="1">
      <alignment horizontal="center" vertical="center"/>
    </xf>
    <xf numFmtId="3" fontId="42" fillId="3" borderId="1" xfId="6" applyNumberFormat="1" applyFont="1" applyFill="1" applyBorder="1" applyAlignment="1">
      <alignment horizontal="center" vertical="center" wrapText="1"/>
    </xf>
    <xf numFmtId="0" fontId="42" fillId="0" borderId="0" xfId="0" applyFont="1"/>
    <xf numFmtId="0" fontId="43" fillId="2" borderId="1" xfId="1" applyFont="1" applyFill="1" applyBorder="1" applyAlignment="1">
      <alignment horizontal="left" vertical="center"/>
    </xf>
    <xf numFmtId="3" fontId="42" fillId="2" borderId="1" xfId="6" applyNumberFormat="1" applyFont="1" applyFill="1" applyBorder="1" applyAlignment="1">
      <alignment horizontal="left" vertical="center" wrapText="1"/>
    </xf>
    <xf numFmtId="3" fontId="45" fillId="2" borderId="1" xfId="1" applyNumberFormat="1" applyFont="1" applyFill="1" applyBorder="1" applyAlignment="1">
      <alignment horizontal="center" vertical="center"/>
    </xf>
    <xf numFmtId="9" fontId="45" fillId="2" borderId="1" xfId="12" applyFont="1" applyFill="1" applyBorder="1" applyAlignment="1">
      <alignment horizontal="center" vertical="center"/>
    </xf>
    <xf numFmtId="0" fontId="42" fillId="3" borderId="1" xfId="1" applyFont="1" applyFill="1" applyBorder="1" applyAlignment="1">
      <alignment horizontal="left" vertical="center"/>
    </xf>
    <xf numFmtId="3" fontId="42" fillId="3" borderId="1" xfId="6" applyNumberFormat="1" applyFont="1" applyFill="1" applyBorder="1" applyAlignment="1">
      <alignment horizontal="left" vertical="center" wrapText="1"/>
    </xf>
    <xf numFmtId="3" fontId="44" fillId="0" borderId="1" xfId="1" applyNumberFormat="1" applyFont="1" applyBorder="1" applyAlignment="1" applyProtection="1">
      <alignment horizontal="center" vertical="center"/>
      <protection locked="0"/>
    </xf>
    <xf numFmtId="0" fontId="42" fillId="2" borderId="1" xfId="1" applyFont="1" applyFill="1" applyBorder="1" applyAlignment="1">
      <alignment horizontal="left" vertical="center"/>
    </xf>
    <xf numFmtId="3" fontId="44" fillId="2" borderId="1" xfId="1" applyNumberFormat="1" applyFont="1" applyFill="1" applyBorder="1" applyAlignment="1">
      <alignment horizontal="center" vertical="center"/>
    </xf>
    <xf numFmtId="9" fontId="44" fillId="2" borderId="1" xfId="12" applyFont="1" applyFill="1" applyBorder="1" applyAlignment="1">
      <alignment horizontal="center" vertical="center"/>
    </xf>
    <xf numFmtId="3" fontId="43" fillId="2" borderId="1" xfId="6" applyNumberFormat="1" applyFont="1" applyFill="1" applyBorder="1" applyAlignment="1">
      <alignment horizontal="left" vertical="center" wrapText="1"/>
    </xf>
    <xf numFmtId="9" fontId="45" fillId="2" borderId="1" xfId="12" applyFont="1" applyFill="1" applyBorder="1" applyAlignment="1" applyProtection="1">
      <alignment horizontal="center" vertical="center"/>
      <protection locked="0"/>
    </xf>
    <xf numFmtId="0" fontId="42" fillId="0" borderId="0" xfId="0" applyFont="1" applyAlignment="1" applyProtection="1">
      <alignment horizontal="left"/>
      <protection locked="0"/>
    </xf>
    <xf numFmtId="0" fontId="42" fillId="3" borderId="1" xfId="0" applyFont="1" applyFill="1" applyBorder="1" applyAlignment="1">
      <alignment horizontal="left" vertical="center"/>
    </xf>
    <xf numFmtId="0" fontId="43" fillId="2" borderId="1" xfId="6" applyFont="1" applyFill="1" applyBorder="1" applyAlignment="1">
      <alignment horizontal="left" vertical="center" wrapText="1"/>
    </xf>
    <xf numFmtId="3" fontId="43" fillId="2" borderId="1" xfId="6" applyNumberFormat="1" applyFont="1" applyFill="1" applyBorder="1" applyAlignment="1">
      <alignment horizontal="left" vertical="center"/>
    </xf>
    <xf numFmtId="0" fontId="43" fillId="0" borderId="0" xfId="1" applyFont="1" applyAlignment="1">
      <alignment horizontal="left" vertical="center"/>
    </xf>
    <xf numFmtId="3" fontId="43" fillId="0" borderId="0" xfId="6" applyNumberFormat="1" applyFont="1" applyAlignment="1">
      <alignment horizontal="left" vertical="center"/>
    </xf>
    <xf numFmtId="3" fontId="43" fillId="0" borderId="0" xfId="1" applyNumberFormat="1" applyFont="1" applyAlignment="1">
      <alignment horizontal="right" vertical="center"/>
    </xf>
    <xf numFmtId="3" fontId="45" fillId="0" borderId="0" xfId="1" applyNumberFormat="1" applyFont="1" applyAlignment="1">
      <alignment horizontal="center" vertical="center"/>
    </xf>
    <xf numFmtId="9" fontId="45" fillId="0" borderId="0" xfId="12" applyFont="1" applyAlignment="1">
      <alignment horizontal="center" vertical="center"/>
    </xf>
    <xf numFmtId="0" fontId="42" fillId="0" borderId="0" xfId="1467" applyFont="1" applyAlignment="1">
      <alignment vertical="center"/>
    </xf>
    <xf numFmtId="0" fontId="47" fillId="0" borderId="0" xfId="1467" applyFont="1" applyAlignment="1">
      <alignment horizontal="center" vertical="center"/>
    </xf>
    <xf numFmtId="0" fontId="47" fillId="0" borderId="0" xfId="1467" applyFont="1" applyAlignment="1">
      <alignment vertical="center" wrapText="1"/>
    </xf>
    <xf numFmtId="3" fontId="47" fillId="0" borderId="0" xfId="1467" applyNumberFormat="1" applyFont="1" applyAlignment="1">
      <alignment horizontal="center" vertical="center"/>
    </xf>
    <xf numFmtId="0" fontId="41" fillId="0" borderId="0" xfId="1467" applyFont="1" applyAlignment="1">
      <alignment vertical="center"/>
    </xf>
    <xf numFmtId="0" fontId="48" fillId="0" borderId="0" xfId="1467" applyFont="1" applyAlignment="1">
      <alignment horizontal="center" vertical="center"/>
    </xf>
    <xf numFmtId="0" fontId="48" fillId="0" borderId="0" xfId="1467" applyFont="1" applyAlignment="1">
      <alignment vertical="center"/>
    </xf>
    <xf numFmtId="0" fontId="48" fillId="0" borderId="0" xfId="1467" applyFont="1" applyAlignment="1" applyProtection="1">
      <alignment vertical="center"/>
      <protection locked="0"/>
    </xf>
    <xf numFmtId="49" fontId="45" fillId="2" borderId="1" xfId="12" applyNumberFormat="1" applyFont="1" applyFill="1" applyBorder="1" applyAlignment="1">
      <alignment horizontal="left" vertical="center" wrapText="1"/>
    </xf>
    <xf numFmtId="49" fontId="44" fillId="3" borderId="1" xfId="12" applyNumberFormat="1" applyFont="1" applyFill="1" applyBorder="1" applyAlignment="1">
      <alignment horizontal="left" vertical="center"/>
    </xf>
    <xf numFmtId="49" fontId="44" fillId="32" borderId="1" xfId="12" applyNumberFormat="1" applyFont="1" applyFill="1" applyBorder="1" applyAlignment="1">
      <alignment horizontal="left" vertical="center" wrapText="1"/>
    </xf>
    <xf numFmtId="3" fontId="45" fillId="4" borderId="3" xfId="6" applyNumberFormat="1" applyFont="1" applyFill="1" applyBorder="1" applyAlignment="1">
      <alignment horizontal="center" vertical="center"/>
    </xf>
    <xf numFmtId="49" fontId="44" fillId="0" borderId="1" xfId="12" applyNumberFormat="1" applyFont="1" applyBorder="1" applyAlignment="1">
      <alignment horizontal="left" vertical="center" wrapText="1"/>
    </xf>
    <xf numFmtId="49" fontId="44" fillId="0" borderId="2" xfId="0" applyNumberFormat="1" applyFont="1" applyBorder="1" applyAlignment="1" applyProtection="1">
      <alignment horizontal="left" vertical="center" wrapText="1"/>
      <protection locked="0"/>
    </xf>
    <xf numFmtId="49" fontId="44" fillId="0" borderId="1" xfId="6" applyNumberFormat="1" applyFont="1" applyBorder="1" applyAlignment="1" applyProtection="1">
      <alignment horizontal="left" vertical="center" wrapText="1"/>
      <protection locked="0"/>
    </xf>
    <xf numFmtId="3" fontId="51" fillId="0" borderId="1" xfId="0" applyNumberFormat="1" applyFont="1" applyBorder="1" applyAlignment="1">
      <alignment horizontal="center" vertical="center" wrapText="1"/>
    </xf>
    <xf numFmtId="0" fontId="42" fillId="0" borderId="4" xfId="6" applyFont="1" applyBorder="1" applyAlignment="1">
      <alignment vertical="center" wrapText="1"/>
    </xf>
    <xf numFmtId="3" fontId="42" fillId="3" borderId="1" xfId="6" applyNumberFormat="1" applyFont="1" applyFill="1" applyBorder="1" applyAlignment="1">
      <alignment horizontal="right" vertical="center"/>
    </xf>
    <xf numFmtId="3" fontId="44" fillId="3" borderId="1" xfId="6" applyNumberFormat="1" applyFont="1" applyFill="1" applyBorder="1" applyAlignment="1">
      <alignment horizontal="center" vertical="center"/>
    </xf>
    <xf numFmtId="0" fontId="42" fillId="0" borderId="1" xfId="0" applyFont="1" applyBorder="1" applyAlignment="1">
      <alignment horizontal="left" vertical="center" wrapText="1" indent="2" readingOrder="1"/>
    </xf>
    <xf numFmtId="49" fontId="42" fillId="0" borderId="5" xfId="6" applyNumberFormat="1" applyFont="1" applyBorder="1" applyAlignment="1">
      <alignment horizontal="right" vertical="center"/>
    </xf>
    <xf numFmtId="0" fontId="44" fillId="0" borderId="1" xfId="0" applyFont="1" applyBorder="1" applyAlignment="1">
      <alignment horizontal="left" vertical="center" wrapText="1" indent="4" readingOrder="1"/>
    </xf>
    <xf numFmtId="0" fontId="42" fillId="0" borderId="6" xfId="0" applyFont="1" applyBorder="1" applyAlignment="1">
      <alignment horizontal="left" vertical="center" wrapText="1" readingOrder="1"/>
    </xf>
    <xf numFmtId="3" fontId="42" fillId="0" borderId="2" xfId="0" applyNumberFormat="1" applyFont="1" applyBorder="1" applyAlignment="1">
      <alignment horizontal="right" vertical="center" wrapText="1"/>
    </xf>
    <xf numFmtId="3" fontId="44" fillId="0" borderId="2" xfId="0" applyNumberFormat="1" applyFont="1" applyBorder="1" applyAlignment="1">
      <alignment horizontal="center" vertical="center" wrapText="1"/>
    </xf>
    <xf numFmtId="3" fontId="44" fillId="0" borderId="2" xfId="0" applyNumberFormat="1" applyFont="1" applyBorder="1" applyAlignment="1" applyProtection="1">
      <alignment horizontal="center" vertical="center" wrapText="1"/>
      <protection locked="0"/>
    </xf>
    <xf numFmtId="9" fontId="44" fillId="0" borderId="2" xfId="12" applyFont="1" applyFill="1" applyBorder="1" applyAlignment="1" applyProtection="1">
      <alignment horizontal="center" vertical="center" wrapText="1"/>
      <protection locked="0"/>
    </xf>
    <xf numFmtId="3" fontId="42" fillId="0" borderId="2" xfId="0" applyNumberFormat="1" applyFont="1" applyBorder="1" applyAlignment="1" applyProtection="1">
      <alignment horizontal="right" vertical="center" wrapText="1"/>
      <protection locked="0"/>
    </xf>
    <xf numFmtId="0" fontId="43" fillId="4" borderId="6" xfId="0" applyFont="1" applyFill="1" applyBorder="1" applyAlignment="1">
      <alignment horizontal="left" vertical="center" wrapText="1" readingOrder="1"/>
    </xf>
    <xf numFmtId="49" fontId="42" fillId="3" borderId="1" xfId="6" applyNumberFormat="1" applyFont="1" applyFill="1" applyBorder="1" applyAlignment="1">
      <alignment horizontal="center" vertical="center"/>
    </xf>
    <xf numFmtId="3" fontId="42" fillId="3" borderId="6" xfId="6" applyNumberFormat="1" applyFont="1" applyFill="1" applyBorder="1" applyAlignment="1">
      <alignment vertical="center" wrapText="1"/>
    </xf>
    <xf numFmtId="3" fontId="42" fillId="3" borderId="1" xfId="6" applyNumberFormat="1" applyFont="1" applyFill="1" applyBorder="1" applyAlignment="1">
      <alignment vertical="center" wrapText="1"/>
    </xf>
    <xf numFmtId="3" fontId="42" fillId="3" borderId="6" xfId="6" applyNumberFormat="1" applyFont="1" applyFill="1" applyBorder="1" applyAlignment="1">
      <alignment horizontal="left" vertical="center" wrapText="1"/>
    </xf>
    <xf numFmtId="49" fontId="42" fillId="3" borderId="1" xfId="6" applyNumberFormat="1" applyFont="1" applyFill="1" applyBorder="1" applyAlignment="1">
      <alignment horizontal="right" vertical="center"/>
    </xf>
    <xf numFmtId="3" fontId="44" fillId="3" borderId="6" xfId="6" applyNumberFormat="1" applyFont="1" applyFill="1" applyBorder="1" applyAlignment="1">
      <alignment horizontal="left" vertical="center" wrapText="1" indent="2"/>
    </xf>
    <xf numFmtId="49" fontId="43" fillId="4" borderId="1" xfId="6" applyNumberFormat="1" applyFont="1" applyFill="1" applyBorder="1" applyAlignment="1">
      <alignment horizontal="center" vertical="center"/>
    </xf>
    <xf numFmtId="3" fontId="43" fillId="4" borderId="1" xfId="6" applyNumberFormat="1" applyFont="1" applyFill="1" applyBorder="1" applyAlignment="1">
      <alignment vertical="center" wrapText="1"/>
    </xf>
    <xf numFmtId="3" fontId="42" fillId="3" borderId="1" xfId="0" applyNumberFormat="1" applyFont="1" applyFill="1" applyBorder="1" applyAlignment="1">
      <alignment horizontal="right" vertical="center"/>
    </xf>
    <xf numFmtId="3" fontId="44" fillId="3" borderId="1" xfId="6" applyNumberFormat="1" applyFont="1" applyFill="1" applyBorder="1" applyAlignment="1">
      <alignment horizontal="left" vertical="center" wrapText="1" indent="2"/>
    </xf>
    <xf numFmtId="49" fontId="42" fillId="3" borderId="5" xfId="6" applyNumberFormat="1" applyFont="1" applyFill="1" applyBorder="1" applyAlignment="1">
      <alignment horizontal="center" vertical="center"/>
    </xf>
    <xf numFmtId="3" fontId="44" fillId="0" borderId="4" xfId="6" applyNumberFormat="1" applyFont="1" applyBorder="1" applyAlignment="1">
      <alignment horizontal="left" vertical="center" wrapText="1" indent="2"/>
    </xf>
    <xf numFmtId="9" fontId="44" fillId="3" borderId="3" xfId="12" applyFont="1" applyFill="1" applyBorder="1" applyAlignment="1" applyProtection="1">
      <alignment horizontal="center" vertical="center"/>
    </xf>
    <xf numFmtId="3" fontId="45" fillId="31" borderId="3" xfId="6" applyNumberFormat="1" applyFont="1" applyFill="1" applyBorder="1" applyAlignment="1">
      <alignment horizontal="center" vertical="center"/>
    </xf>
    <xf numFmtId="49" fontId="44" fillId="0" borderId="1" xfId="12" applyNumberFormat="1" applyFont="1" applyFill="1" applyBorder="1" applyAlignment="1">
      <alignment horizontal="left" vertical="center" wrapText="1"/>
    </xf>
    <xf numFmtId="3" fontId="53" fillId="0" borderId="1" xfId="1" applyNumberFormat="1" applyFont="1" applyBorder="1" applyAlignment="1">
      <alignment vertical="center" wrapText="1"/>
    </xf>
    <xf numFmtId="3" fontId="53" fillId="0" borderId="6" xfId="6" applyNumberFormat="1" applyFont="1" applyBorder="1" applyAlignment="1">
      <alignment vertical="center" wrapText="1"/>
    </xf>
    <xf numFmtId="3" fontId="42" fillId="0" borderId="0" xfId="0" applyNumberFormat="1" applyFont="1" applyProtection="1">
      <protection locked="0"/>
    </xf>
    <xf numFmtId="0" fontId="43" fillId="2" borderId="1" xfId="0" applyFont="1" applyFill="1" applyBorder="1" applyAlignment="1">
      <alignment horizontal="left" vertical="center" wrapText="1" readingOrder="1"/>
    </xf>
    <xf numFmtId="9" fontId="45" fillId="2" borderId="1" xfId="12" applyFont="1" applyFill="1" applyBorder="1" applyAlignment="1" applyProtection="1">
      <alignment horizontal="center" vertical="center" wrapText="1"/>
    </xf>
    <xf numFmtId="9" fontId="45" fillId="2" borderId="1" xfId="12" applyFont="1" applyFill="1" applyBorder="1" applyAlignment="1" applyProtection="1">
      <alignment horizontal="center" vertical="center" wrapText="1"/>
      <protection locked="0"/>
    </xf>
    <xf numFmtId="0" fontId="42" fillId="3" borderId="1" xfId="6" applyFont="1" applyFill="1" applyBorder="1" applyAlignment="1">
      <alignment vertical="center"/>
    </xf>
    <xf numFmtId="0" fontId="42" fillId="3" borderId="1" xfId="6" applyFont="1" applyFill="1" applyBorder="1" applyAlignment="1">
      <alignment vertical="center" wrapText="1"/>
    </xf>
    <xf numFmtId="3" fontId="46" fillId="2" borderId="1" xfId="6" applyNumberFormat="1" applyFont="1" applyFill="1" applyBorder="1" applyAlignment="1">
      <alignment vertical="center" wrapText="1"/>
    </xf>
    <xf numFmtId="49" fontId="44" fillId="3" borderId="1" xfId="12" applyNumberFormat="1" applyFont="1" applyFill="1" applyBorder="1" applyAlignment="1">
      <alignment horizontal="left" vertical="center" wrapText="1"/>
    </xf>
    <xf numFmtId="0" fontId="43" fillId="31" borderId="1" xfId="6" applyFont="1" applyFill="1" applyBorder="1" applyAlignment="1">
      <alignment vertical="center" wrapText="1"/>
    </xf>
    <xf numFmtId="0" fontId="53" fillId="0" borderId="1" xfId="0" applyFont="1" applyBorder="1"/>
    <xf numFmtId="3" fontId="57" fillId="5" borderId="1" xfId="12" applyNumberFormat="1" applyFont="1" applyFill="1" applyBorder="1" applyAlignment="1" applyProtection="1">
      <alignment horizontal="center" vertical="center" wrapText="1"/>
    </xf>
    <xf numFmtId="166" fontId="60" fillId="2" borderId="1" xfId="12" applyNumberFormat="1" applyFont="1" applyFill="1" applyBorder="1" applyAlignment="1" applyProtection="1">
      <alignment horizontal="center" vertical="center" wrapText="1"/>
    </xf>
    <xf numFmtId="3" fontId="57" fillId="3" borderId="1" xfId="0" applyNumberFormat="1" applyFont="1" applyFill="1" applyBorder="1" applyAlignment="1" applyProtection="1">
      <alignment horizontal="center" vertical="center" wrapText="1"/>
      <protection locked="0"/>
    </xf>
    <xf numFmtId="166" fontId="57" fillId="3" borderId="1" xfId="12" applyNumberFormat="1" applyFont="1" applyFill="1" applyBorder="1" applyAlignment="1" applyProtection="1">
      <alignment horizontal="center" vertical="center" wrapText="1"/>
    </xf>
    <xf numFmtId="3" fontId="60" fillId="2" borderId="1" xfId="0" applyNumberFormat="1" applyFont="1" applyFill="1" applyBorder="1" applyAlignment="1" applyProtection="1">
      <alignment horizontal="center" vertical="center" wrapText="1"/>
      <protection locked="0"/>
    </xf>
    <xf numFmtId="3" fontId="60" fillId="3" borderId="1" xfId="0" applyNumberFormat="1" applyFont="1" applyFill="1" applyBorder="1" applyAlignment="1" applyProtection="1">
      <alignment horizontal="center" vertical="center" wrapText="1"/>
      <protection locked="0"/>
    </xf>
    <xf numFmtId="166" fontId="60" fillId="3" borderId="1" xfId="12" applyNumberFormat="1" applyFont="1" applyFill="1" applyBorder="1" applyAlignment="1" applyProtection="1">
      <alignment horizontal="center" vertical="center" wrapText="1"/>
    </xf>
    <xf numFmtId="166" fontId="60" fillId="0" borderId="1" xfId="12" applyNumberFormat="1" applyFont="1" applyFill="1" applyBorder="1" applyAlignment="1" applyProtection="1">
      <alignment horizontal="center" vertical="center" wrapText="1"/>
    </xf>
    <xf numFmtId="3" fontId="60" fillId="2" borderId="1" xfId="0" applyNumberFormat="1" applyFont="1" applyFill="1" applyBorder="1" applyAlignment="1">
      <alignment horizontal="center" vertical="center" wrapText="1"/>
    </xf>
    <xf numFmtId="166" fontId="60" fillId="2" borderId="1" xfId="12" applyNumberFormat="1" applyFont="1" applyFill="1" applyBorder="1" applyAlignment="1">
      <alignment horizontal="center" vertical="center" wrapText="1"/>
    </xf>
    <xf numFmtId="1" fontId="50" fillId="2" borderId="1" xfId="0" applyNumberFormat="1" applyFont="1" applyFill="1" applyBorder="1" applyAlignment="1">
      <alignment horizontal="right" vertical="center" wrapText="1"/>
    </xf>
    <xf numFmtId="1" fontId="51" fillId="3" borderId="1" xfId="0" applyNumberFormat="1" applyFont="1" applyFill="1" applyBorder="1" applyAlignment="1">
      <alignment horizontal="right" vertical="center" wrapText="1"/>
    </xf>
    <xf numFmtId="3" fontId="57" fillId="3" borderId="1" xfId="0" applyNumberFormat="1" applyFont="1" applyFill="1" applyBorder="1" applyAlignment="1">
      <alignment horizontal="center" vertical="center" wrapText="1"/>
    </xf>
    <xf numFmtId="166" fontId="57" fillId="3" borderId="1" xfId="12" applyNumberFormat="1" applyFont="1" applyFill="1" applyBorder="1" applyAlignment="1">
      <alignment horizontal="center" vertical="center" wrapText="1"/>
    </xf>
    <xf numFmtId="3" fontId="57" fillId="0" borderId="1" xfId="0" applyNumberFormat="1" applyFont="1" applyBorder="1" applyAlignment="1" applyProtection="1">
      <alignment horizontal="center" vertical="center" wrapText="1"/>
      <protection locked="0"/>
    </xf>
    <xf numFmtId="166" fontId="57" fillId="0" borderId="1" xfId="12" applyNumberFormat="1" applyFont="1" applyBorder="1" applyAlignment="1">
      <alignment horizontal="center" vertical="center" wrapText="1"/>
    </xf>
    <xf numFmtId="166" fontId="60" fillId="3" borderId="1" xfId="12" applyNumberFormat="1" applyFont="1" applyFill="1" applyBorder="1" applyAlignment="1">
      <alignment horizontal="center" vertical="center" wrapText="1"/>
    </xf>
    <xf numFmtId="1" fontId="51" fillId="2" borderId="1" xfId="0" applyNumberFormat="1" applyFont="1" applyFill="1" applyBorder="1" applyAlignment="1">
      <alignment horizontal="right" vertical="center" wrapText="1"/>
    </xf>
    <xf numFmtId="3" fontId="57" fillId="2" borderId="1" xfId="0" applyNumberFormat="1" applyFont="1" applyFill="1" applyBorder="1" applyAlignment="1">
      <alignment horizontal="center" vertical="center" wrapText="1"/>
    </xf>
    <xf numFmtId="166" fontId="57" fillId="2" borderId="1" xfId="12" applyNumberFormat="1" applyFont="1" applyFill="1" applyBorder="1" applyAlignment="1">
      <alignment horizontal="center" vertical="center" wrapText="1"/>
    </xf>
    <xf numFmtId="1" fontId="50" fillId="2" borderId="1" xfId="0" applyNumberFormat="1" applyFont="1" applyFill="1" applyBorder="1" applyAlignment="1" applyProtection="1">
      <alignment horizontal="right" vertical="center" wrapText="1"/>
      <protection locked="0"/>
    </xf>
    <xf numFmtId="1" fontId="51" fillId="3" borderId="1" xfId="0" applyNumberFormat="1" applyFont="1" applyFill="1" applyBorder="1" applyAlignment="1" applyProtection="1">
      <alignment horizontal="right" vertical="center" wrapText="1"/>
      <protection locked="0"/>
    </xf>
    <xf numFmtId="166" fontId="57" fillId="0" borderId="1" xfId="12" applyNumberFormat="1" applyFont="1" applyFill="1" applyBorder="1" applyAlignment="1" applyProtection="1">
      <alignment horizontal="center" vertical="center" wrapText="1"/>
    </xf>
    <xf numFmtId="3" fontId="42" fillId="3" borderId="1" xfId="6" applyNumberFormat="1" applyFont="1" applyFill="1" applyBorder="1" applyAlignment="1" applyProtection="1">
      <alignment vertical="center"/>
      <protection locked="0"/>
    </xf>
    <xf numFmtId="3" fontId="42" fillId="0" borderId="1" xfId="0" applyNumberFormat="1" applyFont="1" applyBorder="1" applyAlignment="1">
      <alignment vertical="center"/>
    </xf>
    <xf numFmtId="3" fontId="43" fillId="2" borderId="1" xfId="1" applyNumberFormat="1" applyFont="1" applyFill="1" applyBorder="1" applyAlignment="1">
      <alignment vertical="center"/>
    </xf>
    <xf numFmtId="3" fontId="42" fillId="0" borderId="1" xfId="1" applyNumberFormat="1" applyFont="1" applyBorder="1" applyAlignment="1" applyProtection="1">
      <alignment vertical="center"/>
      <protection locked="0"/>
    </xf>
    <xf numFmtId="3" fontId="42" fillId="2" borderId="1" xfId="1" applyNumberFormat="1" applyFont="1" applyFill="1" applyBorder="1" applyAlignment="1">
      <alignment vertical="center"/>
    </xf>
    <xf numFmtId="3" fontId="43" fillId="2" borderId="1" xfId="1" applyNumberFormat="1" applyFont="1" applyFill="1" applyBorder="1" applyAlignment="1" applyProtection="1">
      <alignment vertical="center"/>
      <protection locked="0"/>
    </xf>
    <xf numFmtId="3" fontId="42" fillId="3" borderId="1" xfId="1" applyNumberFormat="1" applyFont="1" applyFill="1" applyBorder="1" applyAlignment="1" applyProtection="1">
      <alignment vertical="center"/>
      <protection locked="0"/>
    </xf>
    <xf numFmtId="1" fontId="51" fillId="0" borderId="1" xfId="0" applyNumberFormat="1" applyFont="1" applyBorder="1" applyAlignment="1" applyProtection="1">
      <alignment horizontal="right" vertical="center" wrapText="1"/>
      <protection locked="0"/>
    </xf>
    <xf numFmtId="1" fontId="50" fillId="3" borderId="1" xfId="0" applyNumberFormat="1" applyFont="1" applyFill="1" applyBorder="1" applyAlignment="1" applyProtection="1">
      <alignment horizontal="right" vertical="center" wrapText="1"/>
      <protection locked="0"/>
    </xf>
    <xf numFmtId="1" fontId="50" fillId="3" borderId="1" xfId="1" applyNumberFormat="1" applyFont="1" applyFill="1" applyBorder="1" applyAlignment="1" applyProtection="1">
      <alignment horizontal="right" vertical="center" wrapText="1"/>
      <protection locked="0"/>
    </xf>
    <xf numFmtId="1" fontId="50" fillId="0" borderId="1" xfId="1" applyNumberFormat="1" applyFont="1" applyBorder="1" applyAlignment="1" applyProtection="1">
      <alignment horizontal="right" vertical="center" wrapText="1"/>
      <protection locked="0"/>
    </xf>
    <xf numFmtId="1" fontId="50" fillId="0" borderId="1" xfId="0" applyNumberFormat="1" applyFont="1" applyBorder="1" applyAlignment="1" applyProtection="1">
      <alignment horizontal="right" vertical="center" wrapText="1"/>
      <protection locked="0"/>
    </xf>
    <xf numFmtId="1" fontId="62" fillId="2" borderId="1" xfId="0" applyNumberFormat="1" applyFont="1" applyFill="1" applyBorder="1" applyAlignment="1">
      <alignment horizontal="right" vertical="center" wrapText="1"/>
    </xf>
    <xf numFmtId="3" fontId="51" fillId="0" borderId="0" xfId="0" applyNumberFormat="1" applyFont="1" applyAlignment="1">
      <alignment vertical="center"/>
    </xf>
    <xf numFmtId="49" fontId="44" fillId="3" borderId="1" xfId="6" applyNumberFormat="1" applyFont="1" applyFill="1" applyBorder="1" applyAlignment="1" applyProtection="1">
      <alignment horizontal="left" vertical="center" wrapText="1"/>
      <protection locked="0"/>
    </xf>
    <xf numFmtId="3" fontId="63" fillId="0" borderId="0" xfId="1467" applyNumberFormat="1" applyFont="1" applyAlignment="1">
      <alignment horizontal="center" vertical="center"/>
    </xf>
    <xf numFmtId="9" fontId="63" fillId="0" borderId="0" xfId="12" applyFont="1" applyAlignment="1">
      <alignment horizontal="center" vertical="center"/>
    </xf>
    <xf numFmtId="3" fontId="48" fillId="0" borderId="0" xfId="0" applyNumberFormat="1" applyFont="1" applyAlignment="1">
      <alignment vertical="center"/>
    </xf>
    <xf numFmtId="3" fontId="44" fillId="6" borderId="1" xfId="1" applyNumberFormat="1" applyFont="1" applyFill="1" applyBorder="1" applyAlignment="1">
      <alignment horizontal="center" vertical="center"/>
    </xf>
    <xf numFmtId="9" fontId="44" fillId="6" borderId="1" xfId="12" applyFont="1" applyFill="1" applyBorder="1" applyAlignment="1">
      <alignment horizontal="center" vertical="center"/>
    </xf>
    <xf numFmtId="0" fontId="53" fillId="0" borderId="4" xfId="0" applyFont="1" applyBorder="1" applyAlignment="1">
      <alignment vertical="center" wrapText="1"/>
    </xf>
    <xf numFmtId="3" fontId="52" fillId="0" borderId="1" xfId="6" applyNumberFormat="1" applyFont="1" applyBorder="1" applyAlignment="1">
      <alignment vertical="center" wrapText="1"/>
    </xf>
    <xf numFmtId="3" fontId="53" fillId="0" borderId="0" xfId="1" applyNumberFormat="1" applyFont="1" applyAlignment="1">
      <alignment vertical="center" wrapText="1"/>
    </xf>
    <xf numFmtId="0" fontId="53" fillId="0" borderId="0" xfId="1" applyFont="1" applyAlignment="1">
      <alignment vertical="center" wrapText="1"/>
    </xf>
    <xf numFmtId="0" fontId="42" fillId="3" borderId="1" xfId="6" applyFont="1" applyFill="1" applyBorder="1" applyAlignment="1">
      <alignment horizontal="center" vertical="center"/>
    </xf>
    <xf numFmtId="0" fontId="51" fillId="0" borderId="1" xfId="0" applyFont="1" applyBorder="1" applyAlignment="1">
      <alignment horizontal="center" vertical="center"/>
    </xf>
    <xf numFmtId="3" fontId="51" fillId="0" borderId="1" xfId="0" applyNumberFormat="1" applyFont="1" applyBorder="1" applyAlignment="1">
      <alignment horizontal="center" vertical="center"/>
    </xf>
    <xf numFmtId="3" fontId="57" fillId="5" borderId="1" xfId="0" applyNumberFormat="1" applyFont="1" applyFill="1" applyBorder="1" applyAlignment="1">
      <alignment horizontal="center" vertical="center" wrapText="1"/>
    </xf>
    <xf numFmtId="3" fontId="57" fillId="0" borderId="1" xfId="0" applyNumberFormat="1" applyFont="1" applyBorder="1" applyAlignment="1">
      <alignment horizontal="center" vertical="center" wrapText="1"/>
    </xf>
    <xf numFmtId="0" fontId="50" fillId="2" borderId="1" xfId="0" applyFont="1" applyFill="1" applyBorder="1" applyAlignment="1">
      <alignment horizontal="center" vertical="center"/>
    </xf>
    <xf numFmtId="49" fontId="50" fillId="2" borderId="1" xfId="0" applyNumberFormat="1" applyFont="1" applyFill="1" applyBorder="1" applyAlignment="1">
      <alignment horizontal="center" vertical="center"/>
    </xf>
    <xf numFmtId="3" fontId="50" fillId="0" borderId="0" xfId="0" applyNumberFormat="1" applyFont="1" applyAlignment="1">
      <alignment vertical="center"/>
    </xf>
    <xf numFmtId="49" fontId="51" fillId="3" borderId="1" xfId="0" applyNumberFormat="1" applyFont="1" applyFill="1" applyBorder="1" applyAlignment="1">
      <alignment horizontal="center" vertical="center"/>
    </xf>
    <xf numFmtId="49" fontId="50" fillId="3" borderId="1" xfId="0" applyNumberFormat="1" applyFont="1" applyFill="1" applyBorder="1" applyAlignment="1">
      <alignment horizontal="center" vertical="center"/>
    </xf>
    <xf numFmtId="3" fontId="61" fillId="0" borderId="0" xfId="0" applyNumberFormat="1" applyFont="1" applyAlignment="1">
      <alignment vertical="center"/>
    </xf>
    <xf numFmtId="49" fontId="50" fillId="0" borderId="1" xfId="0" applyNumberFormat="1" applyFont="1" applyBorder="1" applyAlignment="1">
      <alignment horizontal="center" vertical="center"/>
    </xf>
    <xf numFmtId="3" fontId="60" fillId="0" borderId="1" xfId="0" applyNumberFormat="1" applyFont="1" applyBorder="1" applyAlignment="1" applyProtection="1">
      <alignment horizontal="center" vertical="center" wrapText="1"/>
      <protection locked="0"/>
    </xf>
    <xf numFmtId="0" fontId="50" fillId="3" borderId="1" xfId="0" applyFont="1" applyFill="1" applyBorder="1" applyAlignment="1">
      <alignment horizontal="center" vertical="center"/>
    </xf>
    <xf numFmtId="0" fontId="51" fillId="3" borderId="1" xfId="0" applyFont="1" applyFill="1" applyBorder="1" applyAlignment="1">
      <alignment horizontal="center" vertical="center"/>
    </xf>
    <xf numFmtId="3" fontId="51" fillId="0" borderId="1" xfId="0" applyNumberFormat="1" applyFont="1" applyBorder="1" applyAlignment="1">
      <alignment vertical="center" wrapText="1"/>
    </xf>
    <xf numFmtId="0" fontId="51" fillId="2" borderId="1" xfId="0" applyFont="1" applyFill="1" applyBorder="1" applyAlignment="1">
      <alignment horizontal="center" vertical="center"/>
    </xf>
    <xf numFmtId="0" fontId="60" fillId="2" borderId="1" xfId="0" applyFont="1" applyFill="1" applyBorder="1" applyAlignment="1">
      <alignment horizontal="center" vertical="center"/>
    </xf>
    <xf numFmtId="3" fontId="60" fillId="0" borderId="0" xfId="0" applyNumberFormat="1" applyFont="1" applyAlignment="1">
      <alignment vertical="center"/>
    </xf>
    <xf numFmtId="0" fontId="50" fillId="2" borderId="1" xfId="0" applyFont="1" applyFill="1" applyBorder="1" applyAlignment="1">
      <alignment horizontal="left" vertical="center" wrapText="1"/>
    </xf>
    <xf numFmtId="0" fontId="51" fillId="3" borderId="1" xfId="0" applyFont="1" applyFill="1" applyBorder="1" applyAlignment="1">
      <alignment horizontal="left" vertical="center" wrapText="1"/>
    </xf>
    <xf numFmtId="3" fontId="60" fillId="0" borderId="1" xfId="0" applyNumberFormat="1" applyFont="1" applyBorder="1" applyAlignment="1">
      <alignment horizontal="center" vertical="center" wrapText="1"/>
    </xf>
    <xf numFmtId="0" fontId="51" fillId="0" borderId="1" xfId="0" applyFont="1" applyBorder="1" applyAlignment="1">
      <alignment horizontal="left" vertical="center" wrapText="1"/>
    </xf>
    <xf numFmtId="0" fontId="60" fillId="2" borderId="1" xfId="0" applyFont="1" applyFill="1" applyBorder="1" applyAlignment="1">
      <alignment horizontal="center" vertical="center" wrapText="1"/>
    </xf>
    <xf numFmtId="0" fontId="50" fillId="3" borderId="1" xfId="0" applyFont="1" applyFill="1" applyBorder="1" applyAlignment="1">
      <alignment horizontal="left" vertical="center" wrapText="1"/>
    </xf>
    <xf numFmtId="0" fontId="50" fillId="0" borderId="1" xfId="0" applyFont="1" applyBorder="1" applyAlignment="1">
      <alignment horizontal="left" vertical="center" wrapText="1"/>
    </xf>
    <xf numFmtId="3" fontId="50" fillId="2" borderId="1" xfId="0" applyNumberFormat="1" applyFont="1" applyFill="1" applyBorder="1" applyAlignment="1">
      <alignment horizontal="left" vertical="center" wrapText="1"/>
    </xf>
    <xf numFmtId="0" fontId="50" fillId="2"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3" fontId="51" fillId="0" borderId="0" xfId="4" applyNumberFormat="1" applyFont="1" applyAlignment="1">
      <alignment vertical="center"/>
    </xf>
    <xf numFmtId="0" fontId="51" fillId="3" borderId="1" xfId="0" applyFont="1" applyFill="1" applyBorder="1" applyAlignment="1">
      <alignment vertical="center" wrapText="1"/>
    </xf>
    <xf numFmtId="3" fontId="50" fillId="2" borderId="1" xfId="0" applyNumberFormat="1" applyFont="1" applyFill="1" applyBorder="1" applyAlignment="1">
      <alignment horizontal="center" vertical="center" wrapText="1"/>
    </xf>
    <xf numFmtId="0" fontId="51" fillId="2" borderId="1" xfId="1" applyFont="1" applyFill="1" applyBorder="1" applyAlignment="1">
      <alignment horizontal="center" vertical="center"/>
    </xf>
    <xf numFmtId="3" fontId="62" fillId="2" borderId="1" xfId="0" applyNumberFormat="1" applyFont="1" applyFill="1" applyBorder="1" applyAlignment="1">
      <alignment horizontal="left" vertical="center" wrapText="1"/>
    </xf>
    <xf numFmtId="0" fontId="50" fillId="0" borderId="1" xfId="1" applyFont="1" applyBorder="1" applyAlignment="1">
      <alignment horizontal="center" vertical="center"/>
    </xf>
    <xf numFmtId="3" fontId="50" fillId="3" borderId="1" xfId="0" applyNumberFormat="1" applyFont="1" applyFill="1" applyBorder="1" applyAlignment="1">
      <alignment horizontal="left" vertical="center" wrapText="1"/>
    </xf>
    <xf numFmtId="0" fontId="50" fillId="2" borderId="1" xfId="1" applyFont="1" applyFill="1" applyBorder="1" applyAlignment="1">
      <alignment horizontal="center" vertical="center"/>
    </xf>
    <xf numFmtId="0" fontId="51" fillId="3" borderId="1" xfId="1" applyFont="1" applyFill="1" applyBorder="1" applyAlignment="1">
      <alignment horizontal="center" vertical="center"/>
    </xf>
    <xf numFmtId="3" fontId="51" fillId="3" borderId="1" xfId="0" applyNumberFormat="1" applyFont="1" applyFill="1" applyBorder="1" applyAlignment="1">
      <alignment horizontal="left" vertical="center" wrapText="1"/>
    </xf>
    <xf numFmtId="49" fontId="51" fillId="3" borderId="1" xfId="1" applyNumberFormat="1" applyFont="1" applyFill="1" applyBorder="1" applyAlignment="1">
      <alignment horizontal="center" vertical="center"/>
    </xf>
    <xf numFmtId="0" fontId="50" fillId="0" borderId="1" xfId="0" applyFont="1" applyBorder="1" applyAlignment="1">
      <alignment horizontal="center" vertical="center"/>
    </xf>
    <xf numFmtId="3" fontId="51" fillId="0" borderId="0" xfId="0" applyNumberFormat="1" applyFont="1" applyAlignment="1">
      <alignment horizontal="center" vertical="center"/>
    </xf>
    <xf numFmtId="49" fontId="64" fillId="3" borderId="1" xfId="12" applyNumberFormat="1" applyFont="1" applyFill="1" applyBorder="1" applyAlignment="1">
      <alignment horizontal="left" vertical="center" wrapText="1"/>
    </xf>
    <xf numFmtId="3" fontId="53" fillId="0" borderId="5" xfId="6" applyNumberFormat="1" applyFont="1" applyBorder="1" applyAlignment="1">
      <alignment vertical="center" wrapText="1"/>
    </xf>
    <xf numFmtId="3" fontId="53" fillId="3" borderId="5" xfId="6" applyNumberFormat="1" applyFont="1" applyFill="1" applyBorder="1" applyAlignment="1">
      <alignment vertical="center" wrapText="1"/>
    </xf>
    <xf numFmtId="0" fontId="53" fillId="0" borderId="5" xfId="1" applyFont="1" applyBorder="1" applyAlignment="1">
      <alignment vertical="center"/>
    </xf>
    <xf numFmtId="0" fontId="53" fillId="0" borderId="27" xfId="0" applyFont="1" applyBorder="1"/>
    <xf numFmtId="49" fontId="44" fillId="0" borderId="1" xfId="0" applyNumberFormat="1" applyFont="1" applyBorder="1" applyAlignment="1" applyProtection="1">
      <alignment horizontal="left" vertical="center" wrapText="1"/>
      <protection locked="0"/>
    </xf>
    <xf numFmtId="0" fontId="65" fillId="0" borderId="1" xfId="1" applyFont="1" applyBorder="1" applyAlignment="1">
      <alignment horizontal="center" vertical="center" wrapText="1"/>
    </xf>
    <xf numFmtId="3" fontId="66" fillId="2" borderId="1" xfId="0" applyNumberFormat="1" applyFont="1" applyFill="1" applyBorder="1" applyAlignment="1" applyProtection="1">
      <alignment horizontal="right" vertical="center"/>
      <protection locked="0"/>
    </xf>
    <xf numFmtId="3" fontId="66" fillId="2" borderId="1" xfId="7" applyNumberFormat="1" applyFont="1" applyFill="1" applyBorder="1" applyAlignment="1" applyProtection="1">
      <alignment vertical="center"/>
      <protection locked="0"/>
    </xf>
    <xf numFmtId="3" fontId="66" fillId="2" borderId="1" xfId="5" applyNumberFormat="1" applyFont="1" applyFill="1" applyBorder="1" applyAlignment="1" applyProtection="1">
      <alignment vertical="center"/>
      <protection locked="0"/>
    </xf>
    <xf numFmtId="3" fontId="66" fillId="2" borderId="1" xfId="5" applyNumberFormat="1" applyFont="1" applyFill="1" applyBorder="1" applyAlignment="1" applyProtection="1">
      <alignment vertical="center" wrapText="1"/>
      <protection locked="0"/>
    </xf>
    <xf numFmtId="3" fontId="65" fillId="4" borderId="4" xfId="0" applyNumberFormat="1" applyFont="1" applyFill="1" applyBorder="1" applyAlignment="1" applyProtection="1">
      <alignment vertical="center"/>
      <protection locked="0"/>
    </xf>
    <xf numFmtId="3" fontId="65" fillId="4" borderId="1" xfId="0" applyNumberFormat="1" applyFont="1" applyFill="1" applyBorder="1" applyAlignment="1" applyProtection="1">
      <alignment horizontal="right" vertical="center"/>
      <protection locked="0"/>
    </xf>
    <xf numFmtId="3" fontId="65" fillId="4" borderId="1" xfId="7" applyNumberFormat="1" applyFont="1" applyFill="1" applyBorder="1" applyAlignment="1" applyProtection="1">
      <alignment vertical="center"/>
      <protection locked="0"/>
    </xf>
    <xf numFmtId="3" fontId="65" fillId="4" borderId="1" xfId="5" applyNumberFormat="1" applyFont="1" applyFill="1" applyBorder="1" applyAlignment="1" applyProtection="1">
      <alignment vertical="center"/>
      <protection locked="0"/>
    </xf>
    <xf numFmtId="3" fontId="65" fillId="4" borderId="1" xfId="5" applyNumberFormat="1" applyFont="1" applyFill="1" applyBorder="1" applyAlignment="1" applyProtection="1">
      <alignment vertical="center" wrapText="1"/>
      <protection locked="0"/>
    </xf>
    <xf numFmtId="0" fontId="66" fillId="0" borderId="1" xfId="1" applyFont="1" applyBorder="1" applyAlignment="1">
      <alignment vertical="center"/>
    </xf>
    <xf numFmtId="3" fontId="65" fillId="0" borderId="3" xfId="0" applyNumberFormat="1" applyFont="1" applyBorder="1" applyAlignment="1" applyProtection="1">
      <alignment horizontal="right" vertical="center"/>
      <protection locked="0"/>
    </xf>
    <xf numFmtId="3" fontId="65" fillId="0" borderId="1" xfId="7" applyNumberFormat="1" applyFont="1" applyBorder="1" applyAlignment="1" applyProtection="1">
      <alignment vertical="center"/>
      <protection locked="0"/>
    </xf>
    <xf numFmtId="3" fontId="65" fillId="0" borderId="1" xfId="5" applyNumberFormat="1" applyFont="1" applyBorder="1" applyAlignment="1" applyProtection="1">
      <alignment vertical="center"/>
      <protection locked="0"/>
    </xf>
    <xf numFmtId="3" fontId="65" fillId="0" borderId="1" xfId="5" applyNumberFormat="1" applyFont="1" applyBorder="1" applyAlignment="1" applyProtection="1">
      <alignment vertical="center" wrapText="1"/>
      <protection locked="0"/>
    </xf>
    <xf numFmtId="3" fontId="66" fillId="0" borderId="3" xfId="0" applyNumberFormat="1" applyFont="1" applyBorder="1" applyAlignment="1" applyProtection="1">
      <alignment horizontal="right" vertical="center"/>
      <protection locked="0"/>
    </xf>
    <xf numFmtId="3" fontId="66" fillId="0" borderId="1" xfId="7" applyNumberFormat="1" applyFont="1" applyBorder="1" applyAlignment="1" applyProtection="1">
      <alignment vertical="center"/>
      <protection locked="0"/>
    </xf>
    <xf numFmtId="3" fontId="66" fillId="0" borderId="1" xfId="5" applyNumberFormat="1" applyFont="1" applyBorder="1" applyAlignment="1" applyProtection="1">
      <alignment vertical="center"/>
      <protection locked="0"/>
    </xf>
    <xf numFmtId="3" fontId="66" fillId="0" borderId="1" xfId="5" applyNumberFormat="1" applyFont="1" applyBorder="1" applyAlignment="1" applyProtection="1">
      <alignment vertical="center" wrapText="1"/>
      <protection locked="0"/>
    </xf>
    <xf numFmtId="3" fontId="65" fillId="4" borderId="1" xfId="0" applyNumberFormat="1" applyFont="1" applyFill="1" applyBorder="1" applyAlignment="1" applyProtection="1">
      <alignment vertical="center"/>
      <protection locked="0"/>
    </xf>
    <xf numFmtId="3" fontId="66" fillId="0" borderId="1" xfId="0" applyNumberFormat="1" applyFont="1" applyBorder="1" applyAlignment="1" applyProtection="1">
      <alignment vertical="center"/>
      <protection locked="0"/>
    </xf>
    <xf numFmtId="3" fontId="66" fillId="0" borderId="1" xfId="0" applyNumberFormat="1" applyFont="1" applyBorder="1" applyAlignment="1" applyProtection="1">
      <alignment horizontal="right" vertical="center"/>
      <protection locked="0"/>
    </xf>
    <xf numFmtId="0" fontId="59" fillId="0" borderId="1" xfId="1" applyFont="1" applyBorder="1" applyAlignment="1">
      <alignment vertical="center"/>
    </xf>
    <xf numFmtId="3" fontId="66" fillId="0" borderId="3" xfId="0" applyNumberFormat="1" applyFont="1" applyBorder="1" applyAlignment="1" applyProtection="1">
      <alignment horizontal="center" vertical="center"/>
      <protection locked="0"/>
    </xf>
    <xf numFmtId="0" fontId="66" fillId="0" borderId="1" xfId="0" applyFont="1" applyBorder="1" applyAlignment="1">
      <alignment vertical="center" wrapText="1"/>
    </xf>
    <xf numFmtId="3" fontId="66" fillId="0" borderId="1" xfId="0" applyNumberFormat="1" applyFont="1" applyBorder="1" applyAlignment="1">
      <alignment horizontal="center" vertical="center" wrapText="1"/>
    </xf>
    <xf numFmtId="3" fontId="65" fillId="0" borderId="1" xfId="0" applyNumberFormat="1" applyFont="1" applyBorder="1" applyAlignment="1" applyProtection="1">
      <alignment horizontal="right" vertical="center"/>
      <protection locked="0"/>
    </xf>
    <xf numFmtId="3" fontId="65" fillId="0" borderId="1" xfId="0" applyNumberFormat="1" applyFont="1" applyBorder="1" applyAlignment="1" applyProtection="1">
      <alignment horizontal="center" vertical="center"/>
      <protection locked="0"/>
    </xf>
    <xf numFmtId="3" fontId="65" fillId="2" borderId="1" xfId="1" applyNumberFormat="1" applyFont="1" applyFill="1" applyBorder="1" applyAlignment="1">
      <alignment vertical="center" wrapText="1"/>
    </xf>
    <xf numFmtId="3" fontId="66" fillId="0" borderId="1" xfId="1" applyNumberFormat="1" applyFont="1" applyBorder="1" applyAlignment="1">
      <alignment vertical="center" wrapText="1"/>
    </xf>
    <xf numFmtId="3" fontId="66" fillId="0" borderId="1" xfId="1" applyNumberFormat="1" applyFont="1" applyBorder="1" applyAlignment="1">
      <alignment vertical="center"/>
    </xf>
    <xf numFmtId="3" fontId="65" fillId="2" borderId="1" xfId="1" applyNumberFormat="1" applyFont="1" applyFill="1" applyBorder="1" applyAlignment="1">
      <alignment vertical="center"/>
    </xf>
    <xf numFmtId="3" fontId="65" fillId="0" borderId="1" xfId="1" applyNumberFormat="1" applyFont="1" applyBorder="1" applyAlignment="1">
      <alignment vertical="center"/>
    </xf>
    <xf numFmtId="3" fontId="65" fillId="0" borderId="1" xfId="1" applyNumberFormat="1" applyFont="1" applyBorder="1" applyAlignment="1">
      <alignment horizontal="center" vertical="center"/>
    </xf>
    <xf numFmtId="0" fontId="59" fillId="0" borderId="0" xfId="1" applyFont="1" applyAlignment="1">
      <alignment vertical="center"/>
    </xf>
    <xf numFmtId="3" fontId="67" fillId="2" borderId="1" xfId="1" applyNumberFormat="1" applyFont="1" applyFill="1" applyBorder="1" applyAlignment="1">
      <alignment vertical="center"/>
    </xf>
    <xf numFmtId="3" fontId="67" fillId="2" borderId="1" xfId="1" applyNumberFormat="1" applyFont="1" applyFill="1" applyBorder="1" applyAlignment="1">
      <alignment vertical="center" wrapText="1"/>
    </xf>
    <xf numFmtId="0" fontId="59" fillId="0" borderId="0" xfId="1" applyFont="1" applyAlignment="1">
      <alignment vertical="center" wrapText="1"/>
    </xf>
    <xf numFmtId="0" fontId="42" fillId="0" borderId="0" xfId="0" applyFont="1" applyAlignment="1" applyProtection="1">
      <alignment wrapText="1"/>
      <protection locked="0"/>
    </xf>
    <xf numFmtId="0" fontId="42" fillId="0" borderId="0" xfId="0" applyFont="1" applyAlignment="1">
      <alignment wrapText="1"/>
    </xf>
    <xf numFmtId="3" fontId="51" fillId="0" borderId="0" xfId="0" applyNumberFormat="1" applyFont="1" applyAlignment="1">
      <alignment horizontal="left" vertical="center" wrapText="1"/>
    </xf>
    <xf numFmtId="3" fontId="53" fillId="0" borderId="1" xfId="0" applyNumberFormat="1" applyFont="1" applyBorder="1" applyAlignment="1" applyProtection="1">
      <alignment horizontal="right" vertical="center"/>
      <protection locked="0"/>
    </xf>
    <xf numFmtId="3" fontId="60" fillId="6" borderId="1" xfId="0" applyNumberFormat="1" applyFont="1" applyFill="1" applyBorder="1" applyAlignment="1">
      <alignment horizontal="center" vertical="center" wrapText="1"/>
    </xf>
    <xf numFmtId="166" fontId="60" fillId="6" borderId="1" xfId="12" applyNumberFormat="1" applyFont="1" applyFill="1" applyBorder="1" applyAlignment="1" applyProtection="1">
      <alignment horizontal="center" vertical="center" wrapText="1"/>
    </xf>
    <xf numFmtId="3" fontId="51" fillId="0" borderId="0" xfId="0" applyNumberFormat="1" applyFont="1" applyAlignment="1">
      <alignment vertical="center" wrapText="1"/>
    </xf>
    <xf numFmtId="49" fontId="51" fillId="0" borderId="1" xfId="0" applyNumberFormat="1" applyFont="1" applyBorder="1" applyAlignment="1">
      <alignment horizontal="center" vertical="center"/>
    </xf>
    <xf numFmtId="3" fontId="51" fillId="0" borderId="1" xfId="0" applyNumberFormat="1" applyFont="1" applyBorder="1" applyAlignment="1">
      <alignment horizontal="left" vertical="center" wrapText="1"/>
    </xf>
    <xf numFmtId="3" fontId="50" fillId="3" borderId="1" xfId="1" applyNumberFormat="1" applyFont="1" applyFill="1" applyBorder="1" applyAlignment="1">
      <alignment horizontal="left" vertical="center" wrapText="1"/>
    </xf>
    <xf numFmtId="3" fontId="50" fillId="0" borderId="1" xfId="1" applyNumberFormat="1" applyFont="1" applyBorder="1" applyAlignment="1">
      <alignment horizontal="left" vertical="center" wrapText="1"/>
    </xf>
    <xf numFmtId="0" fontId="50" fillId="2" borderId="1" xfId="0" applyFont="1" applyFill="1" applyBorder="1" applyAlignment="1">
      <alignment vertical="center" wrapText="1"/>
    </xf>
    <xf numFmtId="0" fontId="50" fillId="3" borderId="1" xfId="0" applyFont="1" applyFill="1" applyBorder="1" applyAlignment="1">
      <alignment vertical="center" wrapText="1"/>
    </xf>
    <xf numFmtId="0" fontId="51" fillId="2" borderId="1" xfId="0" applyFont="1" applyFill="1" applyBorder="1" applyAlignment="1">
      <alignment horizontal="left" vertical="center" wrapText="1"/>
    </xf>
    <xf numFmtId="3" fontId="50" fillId="0" borderId="1" xfId="0" applyNumberFormat="1" applyFont="1" applyBorder="1" applyAlignment="1">
      <alignment horizontal="left" vertical="center" wrapText="1"/>
    </xf>
    <xf numFmtId="3" fontId="53" fillId="0" borderId="1" xfId="0" applyNumberFormat="1" applyFont="1" applyBorder="1" applyAlignment="1" applyProtection="1">
      <alignment vertical="center"/>
      <protection locked="0"/>
    </xf>
    <xf numFmtId="3" fontId="52" fillId="4" borderId="1" xfId="0" applyNumberFormat="1" applyFont="1" applyFill="1" applyBorder="1" applyAlignment="1" applyProtection="1">
      <alignment horizontal="center" vertical="center"/>
      <protection locked="0"/>
    </xf>
    <xf numFmtId="3" fontId="60" fillId="0" borderId="23" xfId="0" applyNumberFormat="1" applyFont="1" applyBorder="1" applyAlignment="1">
      <alignment horizontal="left" vertical="center" wrapText="1"/>
    </xf>
    <xf numFmtId="3" fontId="60" fillId="0" borderId="1" xfId="0" applyNumberFormat="1" applyFont="1" applyBorder="1" applyAlignment="1" applyProtection="1">
      <alignment horizontal="left" vertical="center" wrapText="1"/>
      <protection locked="0"/>
    </xf>
    <xf numFmtId="3" fontId="51" fillId="0" borderId="1" xfId="0" applyNumberFormat="1" applyFont="1" applyBorder="1" applyAlignment="1" applyProtection="1">
      <alignment horizontal="left" vertical="center" wrapText="1"/>
      <protection locked="0"/>
    </xf>
    <xf numFmtId="3" fontId="60" fillId="0" borderId="23" xfId="0" applyNumberFormat="1" applyFont="1" applyBorder="1" applyAlignment="1">
      <alignment vertical="center" wrapText="1"/>
    </xf>
    <xf numFmtId="3" fontId="51" fillId="3" borderId="1" xfId="0" applyNumberFormat="1" applyFont="1" applyFill="1" applyBorder="1" applyAlignment="1">
      <alignment vertical="center" wrapText="1"/>
    </xf>
    <xf numFmtId="3" fontId="51" fillId="2" borderId="1" xfId="0" applyNumberFormat="1" applyFont="1" applyFill="1" applyBorder="1" applyAlignment="1">
      <alignment vertical="center" wrapText="1"/>
    </xf>
    <xf numFmtId="3" fontId="60" fillId="0" borderId="23" xfId="0" applyNumberFormat="1" applyFont="1" applyBorder="1" applyAlignment="1" applyProtection="1">
      <alignment horizontal="left" vertical="center" wrapText="1"/>
      <protection locked="0"/>
    </xf>
    <xf numFmtId="3" fontId="51" fillId="6" borderId="1" xfId="0" applyNumberFormat="1" applyFont="1" applyFill="1" applyBorder="1" applyAlignment="1">
      <alignment vertical="center" wrapText="1"/>
    </xf>
    <xf numFmtId="3" fontId="50" fillId="0" borderId="1" xfId="0" applyNumberFormat="1" applyFont="1" applyBorder="1" applyAlignment="1">
      <alignment vertical="center"/>
    </xf>
    <xf numFmtId="0" fontId="50" fillId="0" borderId="1" xfId="0" applyFont="1" applyBorder="1" applyAlignment="1">
      <alignment horizontal="justify" vertical="center"/>
    </xf>
    <xf numFmtId="0" fontId="51" fillId="0" borderId="1" xfId="0" applyFont="1" applyBorder="1" applyAlignment="1">
      <alignment vertical="center" wrapText="1"/>
    </xf>
    <xf numFmtId="3" fontId="60" fillId="0" borderId="1" xfId="0" applyNumberFormat="1" applyFont="1" applyBorder="1" applyAlignment="1">
      <alignment vertical="center" wrapText="1"/>
    </xf>
    <xf numFmtId="3" fontId="57" fillId="0" borderId="1" xfId="0" applyNumberFormat="1" applyFont="1" applyBorder="1" applyAlignment="1" applyProtection="1">
      <alignment horizontal="left" vertical="center" wrapText="1"/>
      <protection locked="0"/>
    </xf>
    <xf numFmtId="3" fontId="51" fillId="0" borderId="1" xfId="0" applyNumberFormat="1" applyFont="1" applyBorder="1" applyAlignment="1" applyProtection="1">
      <alignment vertical="center" wrapText="1"/>
      <protection locked="0"/>
    </xf>
    <xf numFmtId="49" fontId="47" fillId="0" borderId="0" xfId="1467" applyNumberFormat="1" applyFont="1" applyAlignment="1">
      <alignment horizontal="center" vertical="center"/>
    </xf>
    <xf numFmtId="9" fontId="42" fillId="0" borderId="2" xfId="12" applyFont="1" applyBorder="1" applyAlignment="1">
      <alignment horizontal="center" vertical="center" wrapText="1"/>
    </xf>
    <xf numFmtId="3" fontId="42" fillId="3" borderId="6" xfId="0" applyNumberFormat="1" applyFont="1" applyFill="1" applyBorder="1" applyAlignment="1" applyProtection="1">
      <alignment horizontal="right" vertical="center"/>
      <protection locked="0"/>
    </xf>
    <xf numFmtId="0" fontId="42" fillId="3" borderId="1" xfId="6" applyFont="1" applyFill="1" applyBorder="1" applyAlignment="1" applyProtection="1">
      <alignment horizontal="center" vertical="center"/>
      <protection locked="0"/>
    </xf>
    <xf numFmtId="0" fontId="42" fillId="0" borderId="2" xfId="0" applyFont="1" applyBorder="1" applyAlignment="1">
      <alignment horizontal="center" vertical="center" wrapText="1"/>
    </xf>
    <xf numFmtId="0" fontId="42" fillId="0" borderId="2" xfId="0" applyFont="1" applyBorder="1" applyAlignment="1" applyProtection="1">
      <alignment horizontal="center" vertical="center" wrapText="1"/>
      <protection locked="0"/>
    </xf>
    <xf numFmtId="3" fontId="42" fillId="3" borderId="1" xfId="6" applyNumberFormat="1" applyFont="1" applyFill="1" applyBorder="1" applyAlignment="1">
      <alignment vertical="center"/>
    </xf>
    <xf numFmtId="4" fontId="42" fillId="3" borderId="1" xfId="6" applyNumberFormat="1" applyFont="1" applyFill="1" applyBorder="1" applyAlignment="1" applyProtection="1">
      <alignment vertical="center"/>
      <protection locked="0"/>
    </xf>
    <xf numFmtId="1" fontId="43" fillId="2" borderId="1" xfId="6" applyNumberFormat="1" applyFont="1" applyFill="1" applyBorder="1" applyAlignment="1">
      <alignment horizontal="right" vertical="center" wrapText="1"/>
    </xf>
    <xf numFmtId="1" fontId="42" fillId="3" borderId="1" xfId="0" applyNumberFormat="1" applyFont="1" applyFill="1" applyBorder="1" applyAlignment="1" applyProtection="1">
      <alignment vertical="center"/>
      <protection locked="0"/>
    </xf>
    <xf numFmtId="1" fontId="42" fillId="3" borderId="1" xfId="6" applyNumberFormat="1" applyFont="1" applyFill="1" applyBorder="1" applyAlignment="1" applyProtection="1">
      <alignment vertical="center"/>
      <protection locked="0"/>
    </xf>
    <xf numFmtId="4" fontId="42" fillId="0" borderId="1" xfId="6" applyNumberFormat="1" applyFont="1" applyBorder="1" applyAlignment="1" applyProtection="1">
      <alignment horizontal="right" vertical="center"/>
      <protection locked="0"/>
    </xf>
    <xf numFmtId="0" fontId="42" fillId="0" borderId="0" xfId="0" applyFont="1" applyAlignment="1">
      <alignment horizontal="right" vertical="center"/>
    </xf>
    <xf numFmtId="3" fontId="42" fillId="5" borderId="5" xfId="0" applyNumberFormat="1" applyFont="1" applyFill="1" applyBorder="1" applyAlignment="1">
      <alignment horizontal="center" vertical="center" wrapText="1"/>
    </xf>
    <xf numFmtId="3" fontId="42" fillId="0" borderId="8" xfId="0" applyNumberFormat="1" applyFont="1" applyBorder="1" applyAlignment="1">
      <alignment horizontal="center" vertical="center" wrapText="1"/>
    </xf>
    <xf numFmtId="3" fontId="43" fillId="34" borderId="1" xfId="0" applyNumberFormat="1" applyFont="1" applyFill="1" applyBorder="1" applyAlignment="1">
      <alignment vertical="center"/>
    </xf>
    <xf numFmtId="3" fontId="42" fillId="34" borderId="1" xfId="0" applyNumberFormat="1" applyFont="1" applyFill="1" applyBorder="1" applyAlignment="1">
      <alignment vertical="center"/>
    </xf>
    <xf numFmtId="0" fontId="42" fillId="35" borderId="1" xfId="0" applyFont="1" applyFill="1" applyBorder="1" applyAlignment="1">
      <alignment vertical="center"/>
    </xf>
    <xf numFmtId="3" fontId="42" fillId="35" borderId="1" xfId="0" applyNumberFormat="1" applyFont="1" applyFill="1" applyBorder="1" applyAlignment="1">
      <alignment vertical="center"/>
    </xf>
    <xf numFmtId="0" fontId="42" fillId="0" borderId="1" xfId="0" applyFont="1" applyBorder="1" applyAlignment="1">
      <alignment vertical="center"/>
    </xf>
    <xf numFmtId="0" fontId="51" fillId="35" borderId="1" xfId="0" applyFont="1" applyFill="1" applyBorder="1" applyAlignment="1">
      <alignment horizontal="right" vertical="center" wrapText="1"/>
    </xf>
    <xf numFmtId="0" fontId="50" fillId="34" borderId="1" xfId="0" applyFont="1" applyFill="1" applyBorder="1" applyAlignment="1">
      <alignment horizontal="right" vertical="center" wrapText="1"/>
    </xf>
    <xf numFmtId="0" fontId="50" fillId="35" borderId="1" xfId="0" applyFont="1" applyFill="1" applyBorder="1" applyAlignment="1">
      <alignment horizontal="right" vertical="center" wrapText="1"/>
    </xf>
    <xf numFmtId="0" fontId="51" fillId="34" borderId="1" xfId="0" applyFont="1" applyFill="1" applyBorder="1" applyAlignment="1">
      <alignment horizontal="right" vertical="center" wrapText="1"/>
    </xf>
    <xf numFmtId="3" fontId="51" fillId="33" borderId="1" xfId="0" applyNumberFormat="1" applyFont="1" applyFill="1" applyBorder="1" applyAlignment="1">
      <alignment vertical="center" wrapText="1"/>
    </xf>
    <xf numFmtId="0" fontId="69" fillId="36" borderId="1" xfId="0" applyFont="1" applyFill="1" applyBorder="1" applyAlignment="1">
      <alignment horizontal="center" vertical="center" wrapText="1"/>
    </xf>
    <xf numFmtId="0" fontId="69" fillId="36" borderId="1" xfId="0" applyFont="1" applyFill="1" applyBorder="1" applyAlignment="1">
      <alignment horizontal="left" vertical="center" wrapText="1"/>
    </xf>
    <xf numFmtId="3" fontId="69" fillId="36" borderId="1" xfId="0" applyNumberFormat="1" applyFont="1" applyFill="1" applyBorder="1" applyAlignment="1">
      <alignment horizontal="right" vertical="center" wrapText="1"/>
    </xf>
    <xf numFmtId="0" fontId="69" fillId="36" borderId="1" xfId="0" applyFont="1" applyFill="1" applyBorder="1" applyAlignment="1">
      <alignment horizontal="right" vertical="center" wrapText="1"/>
    </xf>
    <xf numFmtId="0" fontId="36" fillId="2" borderId="1" xfId="0" applyFont="1" applyFill="1" applyBorder="1"/>
    <xf numFmtId="0" fontId="36" fillId="0" borderId="1" xfId="0" applyFont="1" applyBorder="1" applyAlignment="1">
      <alignment horizontal="left" vertical="center" wrapText="1"/>
    </xf>
    <xf numFmtId="0" fontId="36" fillId="0" borderId="1" xfId="0" applyFont="1" applyBorder="1" applyAlignment="1">
      <alignment horizontal="right" vertical="center" wrapText="1"/>
    </xf>
    <xf numFmtId="0" fontId="36" fillId="35" borderId="1" xfId="0" applyFont="1" applyFill="1" applyBorder="1" applyAlignment="1">
      <alignment horizontal="center" vertical="center" wrapText="1"/>
    </xf>
    <xf numFmtId="0" fontId="36" fillId="35" borderId="1" xfId="0" applyFont="1" applyFill="1" applyBorder="1" applyAlignment="1">
      <alignment horizontal="left" vertical="center" wrapText="1"/>
    </xf>
    <xf numFmtId="3" fontId="36" fillId="0" borderId="1" xfId="0" applyNumberFormat="1" applyFont="1" applyBorder="1" applyAlignment="1">
      <alignment horizontal="right" vertical="center" wrapText="1"/>
    </xf>
    <xf numFmtId="0" fontId="36" fillId="0" borderId="1" xfId="0" applyFont="1" applyBorder="1" applyAlignment="1">
      <alignment horizontal="right" vertical="center"/>
    </xf>
    <xf numFmtId="3" fontId="36" fillId="0" borderId="1" xfId="0" applyNumberFormat="1" applyFont="1" applyBorder="1" applyAlignment="1">
      <alignment horizontal="right" vertical="center"/>
    </xf>
    <xf numFmtId="0" fontId="36" fillId="0" borderId="1" xfId="0" applyFont="1" applyBorder="1" applyAlignment="1">
      <alignment horizontal="left" vertical="center" wrapText="1" indent="1"/>
    </xf>
    <xf numFmtId="0" fontId="36" fillId="0" borderId="1" xfId="0" applyFont="1" applyBorder="1" applyAlignment="1">
      <alignment vertical="center" wrapText="1"/>
    </xf>
    <xf numFmtId="0" fontId="36" fillId="35" borderId="1" xfId="0" applyFont="1" applyFill="1" applyBorder="1" applyAlignment="1">
      <alignment horizontal="left" vertical="center" wrapText="1" indent="1"/>
    </xf>
    <xf numFmtId="0" fontId="69" fillId="37" borderId="1" xfId="0" applyFont="1" applyFill="1" applyBorder="1" applyAlignment="1">
      <alignment horizontal="center" vertical="center" wrapText="1"/>
    </xf>
    <xf numFmtId="0" fontId="69" fillId="37" borderId="1" xfId="0" applyFont="1" applyFill="1" applyBorder="1" applyAlignment="1">
      <alignment horizontal="left" vertical="center" wrapText="1"/>
    </xf>
    <xf numFmtId="3" fontId="69" fillId="37" borderId="1" xfId="0" applyNumberFormat="1" applyFont="1" applyFill="1" applyBorder="1" applyAlignment="1">
      <alignment horizontal="right"/>
    </xf>
    <xf numFmtId="0" fontId="36" fillId="33" borderId="1" xfId="0" applyFont="1" applyFill="1" applyBorder="1"/>
    <xf numFmtId="4" fontId="51" fillId="3" borderId="1" xfId="0" applyNumberFormat="1" applyFont="1" applyFill="1" applyBorder="1" applyAlignment="1">
      <alignment vertical="center" wrapText="1"/>
    </xf>
    <xf numFmtId="3" fontId="42" fillId="3" borderId="1" xfId="6" applyNumberFormat="1" applyFont="1" applyFill="1" applyBorder="1" applyAlignment="1">
      <alignment horizontal="center" vertical="center"/>
    </xf>
    <xf numFmtId="3" fontId="42" fillId="3" borderId="1" xfId="6" applyNumberFormat="1" applyFont="1" applyFill="1" applyBorder="1" applyAlignment="1" applyProtection="1">
      <alignment horizontal="center" vertical="center"/>
      <protection locked="0"/>
    </xf>
    <xf numFmtId="9" fontId="42" fillId="0" borderId="2" xfId="12" applyFont="1" applyBorder="1" applyAlignment="1">
      <alignment horizontal="right" vertical="center" wrapText="1"/>
    </xf>
    <xf numFmtId="9" fontId="36" fillId="2" borderId="1" xfId="0" applyNumberFormat="1" applyFont="1" applyFill="1" applyBorder="1"/>
    <xf numFmtId="3" fontId="59" fillId="0" borderId="1" xfId="1" applyNumberFormat="1" applyFont="1" applyBorder="1" applyAlignment="1">
      <alignment vertical="center"/>
    </xf>
    <xf numFmtId="0" fontId="59" fillId="0" borderId="1" xfId="1" applyFont="1" applyBorder="1" applyAlignment="1">
      <alignment horizontal="right"/>
    </xf>
    <xf numFmtId="3" fontId="66" fillId="0" borderId="3" xfId="0" applyNumberFormat="1" applyFont="1" applyBorder="1" applyAlignment="1" applyProtection="1">
      <alignment vertical="center"/>
      <protection locked="0"/>
    </xf>
    <xf numFmtId="3" fontId="70" fillId="0" borderId="1" xfId="6" applyNumberFormat="1" applyFont="1" applyBorder="1" applyAlignment="1">
      <alignment vertical="center" wrapText="1"/>
    </xf>
    <xf numFmtId="3" fontId="42" fillId="0" borderId="0" xfId="0" applyNumberFormat="1" applyFont="1"/>
    <xf numFmtId="0" fontId="41" fillId="0" borderId="0" xfId="0" applyFont="1" applyAlignment="1">
      <alignment vertical="center" wrapText="1"/>
    </xf>
    <xf numFmtId="0" fontId="41" fillId="0" borderId="0" xfId="1467" applyFont="1" applyAlignment="1">
      <alignment vertical="center" wrapText="1"/>
    </xf>
    <xf numFmtId="0" fontId="48" fillId="0" borderId="0" xfId="1467" applyFont="1" applyAlignment="1" applyProtection="1">
      <alignment vertical="center" wrapText="1"/>
      <protection locked="0"/>
    </xf>
    <xf numFmtId="1" fontId="51" fillId="0" borderId="0" xfId="0" applyNumberFormat="1" applyFont="1" applyAlignment="1">
      <alignment vertical="center"/>
    </xf>
    <xf numFmtId="168" fontId="69" fillId="36" borderId="1" xfId="0" applyNumberFormat="1" applyFont="1" applyFill="1" applyBorder="1" applyAlignment="1">
      <alignment horizontal="right" vertical="center" wrapText="1"/>
    </xf>
    <xf numFmtId="1" fontId="36" fillId="2" borderId="1" xfId="0" applyNumberFormat="1" applyFont="1" applyFill="1" applyBorder="1"/>
    <xf numFmtId="168" fontId="36" fillId="0" borderId="1" xfId="0" applyNumberFormat="1" applyFont="1" applyBorder="1" applyAlignment="1">
      <alignment horizontal="right" vertical="center" wrapText="1"/>
    </xf>
    <xf numFmtId="0" fontId="36" fillId="38" borderId="1" xfId="0" applyFont="1" applyFill="1" applyBorder="1" applyAlignment="1">
      <alignment horizontal="center" vertical="center" wrapText="1"/>
    </xf>
    <xf numFmtId="0" fontId="36" fillId="38" borderId="1" xfId="0" applyFont="1" applyFill="1" applyBorder="1" applyAlignment="1">
      <alignment horizontal="left" vertical="center" wrapText="1"/>
    </xf>
    <xf numFmtId="3" fontId="36" fillId="4" borderId="1" xfId="0" applyNumberFormat="1" applyFont="1" applyFill="1" applyBorder="1" applyAlignment="1">
      <alignment horizontal="right" vertical="center" wrapText="1"/>
    </xf>
    <xf numFmtId="0" fontId="36" fillId="4" borderId="1" xfId="0" applyFont="1" applyFill="1" applyBorder="1" applyAlignment="1">
      <alignment horizontal="right" vertical="center" wrapText="1"/>
    </xf>
    <xf numFmtId="168" fontId="36" fillId="4" borderId="1" xfId="0" applyNumberFormat="1" applyFont="1" applyFill="1" applyBorder="1" applyAlignment="1">
      <alignment horizontal="right" vertical="center" wrapText="1"/>
    </xf>
    <xf numFmtId="3" fontId="36" fillId="4" borderId="1" xfId="0" applyNumberFormat="1" applyFont="1" applyFill="1" applyBorder="1" applyAlignment="1">
      <alignment horizontal="right" vertical="center"/>
    </xf>
    <xf numFmtId="0" fontId="36" fillId="4" borderId="1" xfId="0" applyFont="1" applyFill="1" applyBorder="1" applyAlignment="1">
      <alignment horizontal="center" vertical="center" wrapText="1"/>
    </xf>
    <xf numFmtId="0" fontId="36" fillId="4" borderId="1" xfId="0" applyFont="1" applyFill="1" applyBorder="1" applyAlignment="1">
      <alignment horizontal="left" vertical="center" wrapText="1"/>
    </xf>
    <xf numFmtId="0" fontId="36" fillId="35" borderId="1" xfId="0" applyFont="1" applyFill="1" applyBorder="1" applyAlignment="1">
      <alignment vertical="center" wrapText="1"/>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3" fontId="53" fillId="0" borderId="1" xfId="7" applyNumberFormat="1" applyFont="1" applyBorder="1" applyAlignment="1" applyProtection="1">
      <alignment vertical="center"/>
      <protection locked="0"/>
    </xf>
    <xf numFmtId="0" fontId="0" fillId="0" borderId="1" xfId="0" applyBorder="1"/>
    <xf numFmtId="0" fontId="36" fillId="32" borderId="7" xfId="0" applyFont="1" applyFill="1" applyBorder="1" applyAlignment="1">
      <alignment vertical="top" wrapText="1"/>
    </xf>
    <xf numFmtId="0" fontId="36" fillId="32" borderId="8" xfId="0" applyFont="1" applyFill="1" applyBorder="1" applyAlignment="1">
      <alignment vertical="top" wrapText="1"/>
    </xf>
    <xf numFmtId="0" fontId="36" fillId="32" borderId="6" xfId="0" applyFont="1" applyFill="1" applyBorder="1" applyAlignment="1">
      <alignment vertical="top" wrapText="1"/>
    </xf>
    <xf numFmtId="0" fontId="36" fillId="32" borderId="28" xfId="0" applyFont="1" applyFill="1" applyBorder="1" applyAlignment="1">
      <alignment vertical="top" wrapText="1"/>
    </xf>
    <xf numFmtId="49" fontId="42" fillId="0" borderId="1" xfId="1" applyNumberFormat="1" applyFont="1" applyBorder="1" applyAlignment="1">
      <alignment vertical="center"/>
    </xf>
    <xf numFmtId="49" fontId="42" fillId="2" borderId="1" xfId="1" applyNumberFormat="1" applyFont="1" applyFill="1" applyBorder="1" applyAlignment="1" applyProtection="1">
      <alignment horizontal="left" vertical="center" wrapText="1"/>
      <protection locked="0"/>
    </xf>
    <xf numFmtId="49" fontId="42" fillId="0" borderId="23" xfId="1" applyNumberFormat="1" applyFont="1" applyBorder="1" applyAlignment="1">
      <alignment horizontal="left" vertical="center"/>
    </xf>
    <xf numFmtId="49" fontId="42" fillId="0" borderId="0" xfId="1" applyNumberFormat="1" applyFont="1" applyAlignment="1">
      <alignment horizontal="left" vertical="center"/>
    </xf>
    <xf numFmtId="3" fontId="41" fillId="0" borderId="0" xfId="1467" applyNumberFormat="1" applyFont="1" applyAlignment="1">
      <alignment vertical="center"/>
    </xf>
    <xf numFmtId="0" fontId="71" fillId="0" borderId="1" xfId="1467" applyFont="1" applyBorder="1" applyAlignment="1">
      <alignment horizontal="center" vertical="center"/>
    </xf>
    <xf numFmtId="3" fontId="71" fillId="0" borderId="1" xfId="0" applyNumberFormat="1" applyFont="1" applyBorder="1" applyAlignment="1">
      <alignment horizontal="center" vertical="center" wrapText="1"/>
    </xf>
    <xf numFmtId="3" fontId="72" fillId="5" borderId="1" xfId="0" applyNumberFormat="1" applyFont="1" applyFill="1" applyBorder="1" applyAlignment="1">
      <alignment horizontal="center" vertical="center" wrapText="1"/>
    </xf>
    <xf numFmtId="3" fontId="71" fillId="0" borderId="5" xfId="0" applyNumberFormat="1" applyFont="1" applyBorder="1" applyAlignment="1">
      <alignment horizontal="center" vertical="center" wrapText="1"/>
    </xf>
    <xf numFmtId="3" fontId="71" fillId="0" borderId="8" xfId="0" applyNumberFormat="1" applyFont="1" applyBorder="1" applyAlignment="1">
      <alignment horizontal="center" vertical="center" wrapText="1"/>
    </xf>
    <xf numFmtId="0" fontId="71" fillId="0" borderId="0" xfId="0" applyFont="1" applyAlignment="1">
      <alignment vertical="center"/>
    </xf>
    <xf numFmtId="0" fontId="71" fillId="0" borderId="1" xfId="0" applyFont="1" applyBorder="1" applyAlignment="1">
      <alignment horizontal="center" vertical="center"/>
    </xf>
    <xf numFmtId="0" fontId="74" fillId="7" borderId="1" xfId="6" applyFont="1" applyFill="1" applyBorder="1" applyAlignment="1">
      <alignment horizontal="center" vertical="center"/>
    </xf>
    <xf numFmtId="3" fontId="75" fillId="2" borderId="1" xfId="6" applyNumberFormat="1" applyFont="1" applyFill="1" applyBorder="1" applyAlignment="1">
      <alignment horizontal="center" vertical="center"/>
    </xf>
    <xf numFmtId="9" fontId="75" fillId="2" borderId="1" xfId="12" applyFont="1" applyFill="1" applyBorder="1" applyAlignment="1" applyProtection="1">
      <alignment horizontal="center" vertical="center"/>
    </xf>
    <xf numFmtId="49" fontId="74" fillId="0" borderId="23" xfId="6" applyNumberFormat="1" applyFont="1" applyBorder="1" applyAlignment="1">
      <alignment horizontal="left" vertical="center"/>
    </xf>
    <xf numFmtId="0" fontId="74" fillId="3" borderId="5" xfId="6" applyFont="1" applyFill="1" applyBorder="1" applyAlignment="1">
      <alignment horizontal="center" vertical="center"/>
    </xf>
    <xf numFmtId="0" fontId="72" fillId="0" borderId="0" xfId="0" applyFont="1" applyAlignment="1">
      <alignment horizontal="center" vertical="center"/>
    </xf>
    <xf numFmtId="49" fontId="71" fillId="0" borderId="0" xfId="0" applyNumberFormat="1" applyFont="1" applyAlignment="1">
      <alignment horizontal="left" vertical="center"/>
    </xf>
    <xf numFmtId="9" fontId="72" fillId="0" borderId="0" xfId="12" applyFont="1" applyAlignment="1" applyProtection="1">
      <alignment horizontal="center" vertical="center"/>
    </xf>
    <xf numFmtId="0" fontId="74" fillId="6" borderId="1" xfId="6" applyFont="1" applyFill="1" applyBorder="1" applyAlignment="1">
      <alignment horizontal="center" vertical="center"/>
    </xf>
    <xf numFmtId="3" fontId="75" fillId="2" borderId="1" xfId="6" applyNumberFormat="1" applyFont="1" applyFill="1" applyBorder="1" applyAlignment="1">
      <alignment horizontal="center" vertical="center" wrapText="1"/>
    </xf>
    <xf numFmtId="9" fontId="75" fillId="2" borderId="1" xfId="12" applyFont="1" applyFill="1" applyBorder="1" applyAlignment="1" applyProtection="1">
      <alignment horizontal="center" vertical="center" wrapText="1"/>
    </xf>
    <xf numFmtId="49" fontId="74" fillId="0" borderId="23" xfId="6" applyNumberFormat="1" applyFont="1" applyBorder="1" applyAlignment="1">
      <alignment horizontal="left" vertical="center" wrapText="1"/>
    </xf>
    <xf numFmtId="3" fontId="71" fillId="0" borderId="0" xfId="0" applyNumberFormat="1" applyFont="1" applyAlignment="1">
      <alignment vertical="center"/>
    </xf>
    <xf numFmtId="0" fontId="74" fillId="2" borderId="1" xfId="6" applyFont="1" applyFill="1" applyBorder="1" applyAlignment="1">
      <alignment horizontal="center" vertical="center"/>
    </xf>
    <xf numFmtId="3" fontId="71" fillId="0" borderId="1" xfId="0" applyNumberFormat="1" applyFont="1" applyBorder="1" applyAlignment="1">
      <alignment vertical="center" wrapText="1"/>
    </xf>
    <xf numFmtId="0" fontId="72" fillId="0" borderId="0" xfId="0" applyFont="1" applyAlignment="1">
      <alignment vertical="center"/>
    </xf>
    <xf numFmtId="0" fontId="71" fillId="3" borderId="1" xfId="6" applyFont="1" applyFill="1" applyBorder="1" applyAlignment="1">
      <alignment horizontal="center" vertical="center"/>
    </xf>
    <xf numFmtId="3" fontId="72" fillId="3" borderId="1" xfId="6" applyNumberFormat="1" applyFont="1" applyFill="1" applyBorder="1" applyAlignment="1" applyProtection="1">
      <alignment horizontal="center" vertical="center"/>
      <protection locked="0"/>
    </xf>
    <xf numFmtId="9" fontId="72" fillId="3" borderId="1" xfId="12" applyFont="1" applyFill="1" applyBorder="1" applyAlignment="1" applyProtection="1">
      <alignment horizontal="center" vertical="center"/>
      <protection locked="0"/>
    </xf>
    <xf numFmtId="166" fontId="71" fillId="0" borderId="1" xfId="12" applyNumberFormat="1" applyFont="1" applyFill="1" applyBorder="1" applyAlignment="1" applyProtection="1">
      <alignment horizontal="left" vertical="center" wrapText="1"/>
      <protection locked="0"/>
    </xf>
    <xf numFmtId="0" fontId="75" fillId="0" borderId="0" xfId="0" applyFont="1" applyAlignment="1">
      <alignment vertical="center"/>
    </xf>
    <xf numFmtId="3" fontId="75" fillId="2" borderId="1" xfId="6" applyNumberFormat="1" applyFont="1" applyFill="1" applyBorder="1" applyAlignment="1" applyProtection="1">
      <alignment horizontal="center" vertical="center"/>
      <protection locked="0"/>
    </xf>
    <xf numFmtId="9" fontId="75" fillId="2" borderId="1" xfId="12" applyFont="1" applyFill="1" applyBorder="1" applyAlignment="1" applyProtection="1">
      <alignment horizontal="center" vertical="center"/>
      <protection locked="0"/>
    </xf>
    <xf numFmtId="49" fontId="74" fillId="0" borderId="1" xfId="6" applyNumberFormat="1" applyFont="1" applyBorder="1" applyAlignment="1" applyProtection="1">
      <alignment horizontal="left" vertical="center"/>
      <protection locked="0"/>
    </xf>
    <xf numFmtId="0" fontId="74" fillId="0" borderId="1" xfId="6" applyFont="1" applyBorder="1" applyAlignment="1">
      <alignment horizontal="center" vertical="center"/>
    </xf>
    <xf numFmtId="3" fontId="72" fillId="0" borderId="1" xfId="6" applyNumberFormat="1" applyFont="1" applyBorder="1" applyAlignment="1" applyProtection="1">
      <alignment horizontal="center" vertical="center"/>
      <protection locked="0"/>
    </xf>
    <xf numFmtId="9" fontId="72" fillId="0" borderId="1" xfId="12" applyFont="1" applyFill="1" applyBorder="1" applyAlignment="1" applyProtection="1">
      <alignment horizontal="center" vertical="center"/>
      <protection locked="0"/>
    </xf>
    <xf numFmtId="3" fontId="75" fillId="0" borderId="1" xfId="6" applyNumberFormat="1" applyFont="1" applyBorder="1" applyAlignment="1" applyProtection="1">
      <alignment horizontal="center" vertical="center"/>
      <protection locked="0"/>
    </xf>
    <xf numFmtId="9" fontId="75" fillId="0" borderId="1" xfId="12" applyFont="1" applyFill="1" applyBorder="1" applyAlignment="1" applyProtection="1">
      <alignment horizontal="center" vertical="center"/>
      <protection locked="0"/>
    </xf>
    <xf numFmtId="49" fontId="71" fillId="32" borderId="1" xfId="6" applyNumberFormat="1" applyFont="1" applyFill="1" applyBorder="1" applyAlignment="1" applyProtection="1">
      <alignment horizontal="left" vertical="center" wrapText="1"/>
      <protection locked="0"/>
    </xf>
    <xf numFmtId="3" fontId="71" fillId="0" borderId="1" xfId="6" applyNumberFormat="1" applyFont="1" applyBorder="1" applyAlignment="1" applyProtection="1">
      <alignment horizontal="center" vertical="center"/>
      <protection locked="0"/>
    </xf>
    <xf numFmtId="9" fontId="71" fillId="0" borderId="1" xfId="12" applyFont="1" applyFill="1" applyBorder="1" applyAlignment="1" applyProtection="1">
      <alignment horizontal="center" vertical="center"/>
      <protection locked="0"/>
    </xf>
    <xf numFmtId="49" fontId="71" fillId="0" borderId="1" xfId="6" applyNumberFormat="1" applyFont="1" applyBorder="1" applyAlignment="1" applyProtection="1">
      <alignment horizontal="left" vertical="center" wrapText="1"/>
      <protection locked="0"/>
    </xf>
    <xf numFmtId="49" fontId="74" fillId="2" borderId="23" xfId="6" applyNumberFormat="1" applyFont="1" applyFill="1" applyBorder="1" applyAlignment="1">
      <alignment horizontal="left" vertical="center"/>
    </xf>
    <xf numFmtId="49" fontId="71" fillId="0" borderId="8" xfId="6" applyNumberFormat="1" applyFont="1" applyBorder="1" applyAlignment="1" applyProtection="1">
      <alignment horizontal="left" vertical="center" wrapText="1"/>
      <protection locked="0"/>
    </xf>
    <xf numFmtId="3" fontId="72" fillId="3" borderId="4" xfId="6" applyNumberFormat="1" applyFont="1" applyFill="1" applyBorder="1" applyAlignment="1" applyProtection="1">
      <alignment horizontal="center" vertical="center"/>
      <protection locked="0"/>
    </xf>
    <xf numFmtId="9" fontId="72" fillId="3" borderId="4" xfId="12" applyFont="1" applyFill="1" applyBorder="1" applyAlignment="1" applyProtection="1">
      <alignment horizontal="center" vertical="center"/>
      <protection locked="0"/>
    </xf>
    <xf numFmtId="0" fontId="71" fillId="0" borderId="1" xfId="0" applyFont="1" applyBorder="1" applyAlignment="1">
      <alignment vertical="center" wrapText="1"/>
    </xf>
    <xf numFmtId="3" fontId="72" fillId="3" borderId="6" xfId="6" applyNumberFormat="1" applyFont="1" applyFill="1" applyBorder="1" applyAlignment="1" applyProtection="1">
      <alignment horizontal="center" vertical="center"/>
      <protection locked="0"/>
    </xf>
    <xf numFmtId="9" fontId="72" fillId="3" borderId="6" xfId="12" applyFont="1" applyFill="1" applyBorder="1" applyAlignment="1" applyProtection="1">
      <alignment horizontal="center" vertical="center"/>
      <protection locked="0"/>
    </xf>
    <xf numFmtId="3" fontId="75" fillId="6" borderId="1" xfId="6" applyNumberFormat="1" applyFont="1" applyFill="1" applyBorder="1" applyAlignment="1">
      <alignment horizontal="center" vertical="center"/>
    </xf>
    <xf numFmtId="9" fontId="75" fillId="6" borderId="1" xfId="12" applyFont="1" applyFill="1" applyBorder="1" applyAlignment="1" applyProtection="1">
      <alignment horizontal="center" vertical="center"/>
    </xf>
    <xf numFmtId="0" fontId="74" fillId="6" borderId="1" xfId="0" applyFont="1" applyFill="1" applyBorder="1" applyAlignment="1">
      <alignment horizontal="center" vertical="center"/>
    </xf>
    <xf numFmtId="3" fontId="75" fillId="6" borderId="1" xfId="0" applyNumberFormat="1" applyFont="1" applyFill="1" applyBorder="1" applyAlignment="1">
      <alignment horizontal="center" vertical="center"/>
    </xf>
    <xf numFmtId="49" fontId="74" fillId="0" borderId="23" xfId="0" applyNumberFormat="1" applyFont="1" applyBorder="1" applyAlignment="1">
      <alignment horizontal="left" vertical="center"/>
    </xf>
    <xf numFmtId="0" fontId="74" fillId="0" borderId="1" xfId="0" applyFont="1" applyBorder="1" applyAlignment="1">
      <alignment horizontal="center" vertical="center"/>
    </xf>
    <xf numFmtId="3" fontId="75" fillId="0" borderId="1" xfId="0" applyNumberFormat="1" applyFont="1" applyBorder="1" applyAlignment="1" applyProtection="1">
      <alignment horizontal="center" vertical="center"/>
      <protection locked="0"/>
    </xf>
    <xf numFmtId="49" fontId="74" fillId="0" borderId="1" xfId="0" applyNumberFormat="1" applyFont="1" applyBorder="1" applyAlignment="1" applyProtection="1">
      <alignment horizontal="left" vertical="center"/>
      <protection locked="0"/>
    </xf>
    <xf numFmtId="3" fontId="75" fillId="0" borderId="1" xfId="0" applyNumberFormat="1" applyFont="1" applyBorder="1" applyAlignment="1">
      <alignment horizontal="center" vertical="center"/>
    </xf>
    <xf numFmtId="9" fontId="75" fillId="0" borderId="1" xfId="12" applyFont="1" applyFill="1" applyBorder="1" applyAlignment="1" applyProtection="1">
      <alignment horizontal="center" vertical="center"/>
    </xf>
    <xf numFmtId="0" fontId="74" fillId="2" borderId="1" xfId="0" applyFont="1" applyFill="1" applyBorder="1" applyAlignment="1">
      <alignment horizontal="center" vertical="center"/>
    </xf>
    <xf numFmtId="3" fontId="75" fillId="2" borderId="1" xfId="0" applyNumberFormat="1" applyFont="1" applyFill="1" applyBorder="1" applyAlignment="1">
      <alignment horizontal="center" vertical="center"/>
    </xf>
    <xf numFmtId="3" fontId="72" fillId="0" borderId="1" xfId="0" applyNumberFormat="1" applyFont="1" applyBorder="1" applyAlignment="1">
      <alignment horizontal="center" vertical="center"/>
    </xf>
    <xf numFmtId="9" fontId="72" fillId="0" borderId="1" xfId="12" applyFont="1" applyBorder="1" applyAlignment="1" applyProtection="1">
      <alignment horizontal="center" vertical="center"/>
    </xf>
    <xf numFmtId="0" fontId="71" fillId="0" borderId="1" xfId="0" applyFont="1" applyBorder="1" applyAlignment="1" applyProtection="1">
      <alignment horizontal="center" vertical="center"/>
      <protection locked="0"/>
    </xf>
    <xf numFmtId="3" fontId="72" fillId="0" borderId="1" xfId="0" applyNumberFormat="1" applyFont="1" applyBorder="1" applyAlignment="1" applyProtection="1">
      <alignment horizontal="center" vertical="center"/>
      <protection locked="0"/>
    </xf>
    <xf numFmtId="9" fontId="72" fillId="0" borderId="1" xfId="12" applyFont="1" applyBorder="1" applyAlignment="1" applyProtection="1">
      <alignment horizontal="center" vertical="center"/>
      <protection locked="0"/>
    </xf>
    <xf numFmtId="0" fontId="71" fillId="0" borderId="0" xfId="0" applyFont="1" applyAlignment="1" applyProtection="1">
      <alignment vertical="center"/>
      <protection locked="0"/>
    </xf>
    <xf numFmtId="0" fontId="71" fillId="0" borderId="0" xfId="0" applyFont="1" applyAlignment="1" applyProtection="1">
      <alignment vertical="center" wrapText="1"/>
      <protection locked="0"/>
    </xf>
    <xf numFmtId="0" fontId="71" fillId="0" borderId="0" xfId="0" applyFont="1" applyAlignment="1">
      <alignment vertical="center" wrapText="1"/>
    </xf>
    <xf numFmtId="9" fontId="72" fillId="0" borderId="6" xfId="12" applyFont="1" applyBorder="1" applyAlignment="1" applyProtection="1">
      <alignment horizontal="center" vertical="center"/>
    </xf>
    <xf numFmtId="0" fontId="71" fillId="0" borderId="7" xfId="6" applyFont="1" applyBorder="1" applyAlignment="1">
      <alignment vertical="center" wrapText="1"/>
    </xf>
    <xf numFmtId="49" fontId="71" fillId="0" borderId="1" xfId="6" applyNumberFormat="1" applyFont="1" applyBorder="1" applyAlignment="1">
      <alignment vertical="top" wrapText="1"/>
    </xf>
    <xf numFmtId="0" fontId="74" fillId="2" borderId="4" xfId="6" applyFont="1" applyFill="1" applyBorder="1" applyAlignment="1">
      <alignment horizontal="center" vertical="center"/>
    </xf>
    <xf numFmtId="0" fontId="71" fillId="2" borderId="1" xfId="6" applyFont="1" applyFill="1" applyBorder="1" applyAlignment="1">
      <alignment vertical="center" wrapText="1"/>
    </xf>
    <xf numFmtId="49" fontId="71" fillId="2" borderId="1" xfId="6" applyNumberFormat="1" applyFont="1" applyFill="1" applyBorder="1" applyAlignment="1">
      <alignment vertical="top" wrapText="1"/>
    </xf>
    <xf numFmtId="0" fontId="71" fillId="0" borderId="1" xfId="6" applyFont="1" applyBorder="1" applyAlignment="1">
      <alignment vertical="center" wrapText="1"/>
    </xf>
    <xf numFmtId="0" fontId="74" fillId="6" borderId="6" xfId="6" applyFont="1" applyFill="1" applyBorder="1" applyAlignment="1">
      <alignment horizontal="center" vertical="center"/>
    </xf>
    <xf numFmtId="0" fontId="71" fillId="2" borderId="7" xfId="6" applyFont="1" applyFill="1" applyBorder="1" applyAlignment="1">
      <alignment vertical="center" wrapText="1"/>
    </xf>
    <xf numFmtId="3" fontId="75" fillId="0" borderId="4" xfId="6" applyNumberFormat="1" applyFont="1" applyBorder="1" applyAlignment="1" applyProtection="1">
      <alignment horizontal="center" vertical="center"/>
      <protection locked="0"/>
    </xf>
    <xf numFmtId="0" fontId="71" fillId="2" borderId="6" xfId="6" applyFont="1" applyFill="1" applyBorder="1" applyAlignment="1">
      <alignment vertical="center" wrapText="1"/>
    </xf>
    <xf numFmtId="0" fontId="71" fillId="0" borderId="1" xfId="6" applyFont="1" applyBorder="1" applyAlignment="1">
      <alignment horizontal="center" vertical="center" wrapText="1"/>
    </xf>
    <xf numFmtId="3" fontId="72" fillId="0" borderId="1" xfId="6" applyNumberFormat="1" applyFont="1" applyBorder="1" applyAlignment="1">
      <alignment horizontal="center" vertical="center"/>
    </xf>
    <xf numFmtId="9" fontId="72" fillId="0" borderId="1" xfId="12" applyFont="1" applyFill="1" applyBorder="1" applyAlignment="1" applyProtection="1">
      <alignment horizontal="center" vertical="center"/>
    </xf>
    <xf numFmtId="3" fontId="72" fillId="0" borderId="6" xfId="6" applyNumberFormat="1" applyFont="1" applyBorder="1" applyAlignment="1">
      <alignment horizontal="center" vertical="center"/>
    </xf>
    <xf numFmtId="0" fontId="71" fillId="0" borderId="1" xfId="6" applyFont="1" applyBorder="1" applyAlignment="1" applyProtection="1">
      <alignment horizontal="center" vertical="center" wrapText="1"/>
      <protection locked="0"/>
    </xf>
    <xf numFmtId="0" fontId="71" fillId="0" borderId="1" xfId="6" applyFont="1" applyBorder="1" applyAlignment="1">
      <alignment horizontal="center" vertical="center"/>
    </xf>
    <xf numFmtId="0" fontId="71" fillId="0" borderId="1" xfId="6" applyFont="1" applyBorder="1" applyAlignment="1" applyProtection="1">
      <alignment horizontal="center" vertical="center"/>
      <protection locked="0"/>
    </xf>
    <xf numFmtId="0" fontId="74" fillId="6" borderId="1" xfId="6" applyFont="1" applyFill="1" applyBorder="1" applyAlignment="1">
      <alignment horizontal="center" vertical="center" wrapText="1"/>
    </xf>
    <xf numFmtId="0" fontId="74" fillId="0" borderId="1" xfId="6" applyFont="1" applyBorder="1" applyAlignment="1">
      <alignment horizontal="center" vertical="center" wrapText="1"/>
    </xf>
    <xf numFmtId="0" fontId="74" fillId="0" borderId="0" xfId="6" applyFont="1" applyAlignment="1">
      <alignment horizontal="center" vertical="center" wrapText="1"/>
    </xf>
    <xf numFmtId="49" fontId="74" fillId="0" borderId="0" xfId="6" applyNumberFormat="1" applyFont="1" applyAlignment="1">
      <alignment horizontal="left" vertical="center" wrapText="1"/>
    </xf>
    <xf numFmtId="3" fontId="74" fillId="0" borderId="0" xfId="6" applyNumberFormat="1" applyFont="1" applyAlignment="1" applyProtection="1">
      <alignment horizontal="right" vertical="center"/>
      <protection locked="0"/>
    </xf>
    <xf numFmtId="3" fontId="75" fillId="0" borderId="0" xfId="6" applyNumberFormat="1" applyFont="1" applyAlignment="1" applyProtection="1">
      <alignment horizontal="center" vertical="center"/>
      <protection locked="0"/>
    </xf>
    <xf numFmtId="9" fontId="75" fillId="0" borderId="0" xfId="12" applyFont="1" applyFill="1" applyBorder="1" applyAlignment="1" applyProtection="1">
      <alignment horizontal="center" vertical="center"/>
      <protection locked="0"/>
    </xf>
    <xf numFmtId="0" fontId="71" fillId="0" borderId="0" xfId="6" applyFont="1" applyAlignment="1">
      <alignment vertical="center" wrapText="1"/>
    </xf>
    <xf numFmtId="49" fontId="71" fillId="0" borderId="0" xfId="6" applyNumberFormat="1" applyFont="1" applyAlignment="1">
      <alignment vertical="top" wrapText="1"/>
    </xf>
    <xf numFmtId="0" fontId="71" fillId="0" borderId="0" xfId="6" applyFont="1" applyAlignment="1">
      <alignment horizontal="left" vertical="center"/>
    </xf>
    <xf numFmtId="0" fontId="71" fillId="0" borderId="0" xfId="0" applyFont="1" applyAlignment="1">
      <alignment horizontal="right" vertical="center"/>
    </xf>
    <xf numFmtId="0" fontId="71" fillId="0" borderId="0" xfId="1467" applyFont="1" applyAlignment="1">
      <alignment vertical="center"/>
    </xf>
    <xf numFmtId="0" fontId="71" fillId="0" borderId="0" xfId="0" applyFont="1" applyAlignment="1">
      <alignment horizontal="center" vertical="center"/>
    </xf>
    <xf numFmtId="3" fontId="71" fillId="0" borderId="1" xfId="0" applyNumberFormat="1" applyFont="1" applyBorder="1" applyAlignment="1" applyProtection="1">
      <alignment horizontal="left" vertical="center" wrapText="1"/>
      <protection locked="0"/>
    </xf>
    <xf numFmtId="3" fontId="71" fillId="32" borderId="1" xfId="0" applyNumberFormat="1" applyFont="1" applyFill="1" applyBorder="1" applyAlignment="1">
      <alignment vertical="center" wrapText="1"/>
    </xf>
    <xf numFmtId="3" fontId="69" fillId="4" borderId="1" xfId="0" applyNumberFormat="1" applyFont="1" applyFill="1" applyBorder="1" applyAlignment="1">
      <alignment horizontal="right" vertical="center" wrapText="1"/>
    </xf>
    <xf numFmtId="0" fontId="69" fillId="4" borderId="1" xfId="0" applyFont="1" applyFill="1" applyBorder="1" applyAlignment="1">
      <alignment horizontal="right" vertical="center" wrapText="1"/>
    </xf>
    <xf numFmtId="3" fontId="74" fillId="0" borderId="0" xfId="6" applyNumberFormat="1" applyFont="1" applyAlignment="1">
      <alignment horizontal="right" vertical="center"/>
    </xf>
    <xf numFmtId="3" fontId="77" fillId="0" borderId="0" xfId="6" applyNumberFormat="1" applyFont="1" applyAlignment="1" applyProtection="1">
      <alignment horizontal="right" vertical="center"/>
      <protection locked="0"/>
    </xf>
    <xf numFmtId="3" fontId="77" fillId="0" borderId="0" xfId="6" applyNumberFormat="1" applyFont="1" applyAlignment="1">
      <alignment horizontal="right" vertical="center"/>
    </xf>
    <xf numFmtId="0" fontId="76" fillId="0" borderId="0" xfId="0" applyFont="1" applyAlignment="1">
      <alignment vertical="center"/>
    </xf>
    <xf numFmtId="1" fontId="59" fillId="0" borderId="0" xfId="0" applyNumberFormat="1" applyFont="1" applyAlignment="1">
      <alignment vertical="center"/>
    </xf>
    <xf numFmtId="3" fontId="44" fillId="0" borderId="0" xfId="0" applyNumberFormat="1" applyFont="1" applyAlignment="1" applyProtection="1">
      <alignment horizontal="center"/>
      <protection locked="0"/>
    </xf>
    <xf numFmtId="0" fontId="42" fillId="0" borderId="1" xfId="1467" applyFont="1" applyBorder="1" applyAlignment="1">
      <alignment horizontal="center" vertical="center" wrapText="1"/>
    </xf>
    <xf numFmtId="0" fontId="42" fillId="0" borderId="1" xfId="1467" applyFont="1" applyBorder="1" applyAlignment="1">
      <alignment vertical="center" wrapText="1"/>
    </xf>
    <xf numFmtId="3" fontId="42" fillId="0" borderId="1" xfId="1467" applyNumberFormat="1" applyFont="1" applyBorder="1" applyAlignment="1" applyProtection="1">
      <alignment horizontal="center" vertical="center"/>
      <protection locked="0"/>
    </xf>
    <xf numFmtId="3" fontId="44" fillId="0" borderId="1" xfId="1467" applyNumberFormat="1" applyFont="1" applyBorder="1" applyAlignment="1" applyProtection="1">
      <alignment horizontal="center" vertical="center"/>
      <protection locked="0"/>
    </xf>
    <xf numFmtId="49" fontId="42" fillId="0" borderId="1" xfId="1467" applyNumberFormat="1" applyFont="1" applyBorder="1" applyAlignment="1" applyProtection="1">
      <alignment horizontal="left" vertical="center" wrapText="1"/>
      <protection locked="0"/>
    </xf>
    <xf numFmtId="49" fontId="42" fillId="32" borderId="1" xfId="1467" applyNumberFormat="1" applyFont="1" applyFill="1" applyBorder="1" applyAlignment="1" applyProtection="1">
      <alignment horizontal="left" vertical="center" wrapText="1"/>
      <protection locked="0"/>
    </xf>
    <xf numFmtId="0" fontId="43" fillId="6" borderId="1" xfId="1467" applyFont="1" applyFill="1" applyBorder="1" applyAlignment="1">
      <alignment horizontal="center" vertical="center"/>
    </xf>
    <xf numFmtId="0" fontId="43" fillId="6" borderId="1" xfId="1467" applyFont="1" applyFill="1" applyBorder="1" applyAlignment="1">
      <alignment vertical="center" wrapText="1"/>
    </xf>
    <xf numFmtId="3" fontId="43" fillId="2" borderId="1" xfId="1467" applyNumberFormat="1" applyFont="1" applyFill="1" applyBorder="1" applyAlignment="1">
      <alignment horizontal="center" vertical="center"/>
    </xf>
    <xf numFmtId="3" fontId="43" fillId="6" borderId="1" xfId="1467" applyNumberFormat="1" applyFont="1" applyFill="1" applyBorder="1" applyAlignment="1">
      <alignment horizontal="center" vertical="center"/>
    </xf>
    <xf numFmtId="3" fontId="45" fillId="6" borderId="1" xfId="1467" applyNumberFormat="1" applyFont="1" applyFill="1" applyBorder="1" applyAlignment="1">
      <alignment horizontal="center" vertical="center"/>
    </xf>
    <xf numFmtId="9" fontId="45" fillId="6" borderId="1" xfId="12" applyFont="1" applyFill="1" applyBorder="1" applyAlignment="1">
      <alignment horizontal="center" vertical="center"/>
    </xf>
    <xf numFmtId="49" fontId="42" fillId="6" borderId="1" xfId="1467" applyNumberFormat="1" applyFont="1" applyFill="1" applyBorder="1" applyAlignment="1">
      <alignment horizontal="left" vertical="center" wrapText="1"/>
    </xf>
    <xf numFmtId="49" fontId="43" fillId="6" borderId="1" xfId="1467" applyNumberFormat="1" applyFont="1" applyFill="1" applyBorder="1" applyAlignment="1">
      <alignment horizontal="center" vertical="center"/>
    </xf>
    <xf numFmtId="49" fontId="42" fillId="0" borderId="1" xfId="1467" applyNumberFormat="1" applyFont="1" applyBorder="1" applyAlignment="1" applyProtection="1">
      <alignment horizontal="center" vertical="center"/>
      <protection locked="0"/>
    </xf>
    <xf numFmtId="1" fontId="78" fillId="0" borderId="1" xfId="0" applyNumberFormat="1" applyFont="1" applyBorder="1" applyAlignment="1">
      <alignment horizontal="center" vertical="center" wrapText="1"/>
    </xf>
    <xf numFmtId="3" fontId="78" fillId="0" borderId="1" xfId="0" applyNumberFormat="1" applyFont="1" applyBorder="1" applyAlignment="1">
      <alignment horizontal="center" vertical="center" wrapText="1"/>
    </xf>
    <xf numFmtId="1" fontId="79" fillId="2" borderId="1" xfId="0" applyNumberFormat="1" applyFont="1" applyFill="1" applyBorder="1" applyAlignment="1">
      <alignment horizontal="right" vertical="center" wrapText="1"/>
    </xf>
    <xf numFmtId="1" fontId="78" fillId="0" borderId="1" xfId="0" applyNumberFormat="1" applyFont="1" applyBorder="1" applyAlignment="1" applyProtection="1">
      <alignment horizontal="right" vertical="center" wrapText="1"/>
      <protection locked="0"/>
    </xf>
    <xf numFmtId="1" fontId="78" fillId="3" borderId="1" xfId="0" applyNumberFormat="1" applyFont="1" applyFill="1" applyBorder="1" applyAlignment="1" applyProtection="1">
      <alignment horizontal="right" vertical="center" wrapText="1"/>
      <protection locked="0"/>
    </xf>
    <xf numFmtId="1" fontId="79" fillId="2" borderId="1" xfId="0" applyNumberFormat="1" applyFont="1" applyFill="1" applyBorder="1" applyAlignment="1" applyProtection="1">
      <alignment horizontal="right" vertical="center" wrapText="1"/>
      <protection locked="0"/>
    </xf>
    <xf numFmtId="1" fontId="79" fillId="3" borderId="1" xfId="0" applyNumberFormat="1" applyFont="1" applyFill="1" applyBorder="1" applyAlignment="1" applyProtection="1">
      <alignment horizontal="right" vertical="center" wrapText="1"/>
      <protection locked="0"/>
    </xf>
    <xf numFmtId="1" fontId="79" fillId="3" borderId="1" xfId="1" applyNumberFormat="1" applyFont="1" applyFill="1" applyBorder="1" applyAlignment="1" applyProtection="1">
      <alignment horizontal="right" vertical="center" wrapText="1"/>
      <protection locked="0"/>
    </xf>
    <xf numFmtId="1" fontId="79" fillId="0" borderId="1" xfId="1" applyNumberFormat="1" applyFont="1" applyBorder="1" applyAlignment="1" applyProtection="1">
      <alignment horizontal="right" vertical="center" wrapText="1"/>
      <protection locked="0"/>
    </xf>
    <xf numFmtId="1" fontId="79" fillId="0" borderId="1" xfId="0" applyNumberFormat="1" applyFont="1" applyBorder="1" applyAlignment="1" applyProtection="1">
      <alignment horizontal="right" vertical="center" wrapText="1"/>
      <protection locked="0"/>
    </xf>
    <xf numFmtId="3" fontId="78" fillId="3" borderId="1" xfId="0" applyNumberFormat="1" applyFont="1" applyFill="1" applyBorder="1" applyAlignment="1" applyProtection="1">
      <alignment horizontal="right" vertical="center" wrapText="1"/>
      <protection locked="0"/>
    </xf>
    <xf numFmtId="1" fontId="78" fillId="2" borderId="1" xfId="0" applyNumberFormat="1" applyFont="1" applyFill="1" applyBorder="1" applyAlignment="1">
      <alignment horizontal="right" vertical="center" wrapText="1"/>
    </xf>
    <xf numFmtId="1" fontId="80" fillId="2" borderId="1" xfId="0" applyNumberFormat="1" applyFont="1" applyFill="1" applyBorder="1" applyAlignment="1">
      <alignment horizontal="right" vertical="center" wrapText="1"/>
    </xf>
    <xf numFmtId="3" fontId="81" fillId="3" borderId="1" xfId="6" applyNumberFormat="1" applyFont="1" applyFill="1" applyBorder="1" applyAlignment="1">
      <alignment horizontal="center" vertical="center" wrapText="1"/>
    </xf>
    <xf numFmtId="3" fontId="81" fillId="0" borderId="1" xfId="0" applyNumberFormat="1" applyFont="1" applyBorder="1" applyAlignment="1">
      <alignment horizontal="center" vertical="center" wrapText="1"/>
    </xf>
    <xf numFmtId="3" fontId="82" fillId="5" borderId="1" xfId="0" applyNumberFormat="1" applyFont="1" applyFill="1" applyBorder="1" applyAlignment="1">
      <alignment horizontal="center" vertical="center" wrapText="1"/>
    </xf>
    <xf numFmtId="0" fontId="81" fillId="0" borderId="1" xfId="0" applyFont="1" applyBorder="1" applyAlignment="1">
      <alignment horizontal="center" vertical="center"/>
    </xf>
    <xf numFmtId="0" fontId="83" fillId="2" borderId="1" xfId="6" applyFont="1" applyFill="1" applyBorder="1" applyAlignment="1">
      <alignment horizontal="left" vertical="center" wrapText="1"/>
    </xf>
    <xf numFmtId="3" fontId="83" fillId="33" borderId="1" xfId="6" applyNumberFormat="1" applyFont="1" applyFill="1" applyBorder="1" applyAlignment="1">
      <alignment horizontal="right" vertical="center" wrapText="1"/>
    </xf>
    <xf numFmtId="3" fontId="83" fillId="33" borderId="1" xfId="6" applyNumberFormat="1" applyFont="1" applyFill="1" applyBorder="1" applyAlignment="1">
      <alignment vertical="center"/>
    </xf>
    <xf numFmtId="3" fontId="83" fillId="2" borderId="1" xfId="6" applyNumberFormat="1" applyFont="1" applyFill="1" applyBorder="1" applyAlignment="1">
      <alignment horizontal="right" vertical="center"/>
    </xf>
    <xf numFmtId="3" fontId="84" fillId="2" borderId="1" xfId="6" applyNumberFormat="1" applyFont="1" applyFill="1" applyBorder="1" applyAlignment="1">
      <alignment horizontal="center" vertical="center"/>
    </xf>
    <xf numFmtId="3" fontId="83" fillId="2" borderId="1" xfId="6" applyNumberFormat="1" applyFont="1" applyFill="1" applyBorder="1" applyAlignment="1">
      <alignment horizontal="right" vertical="center" wrapText="1"/>
    </xf>
    <xf numFmtId="3" fontId="84" fillId="2" borderId="1" xfId="6" applyNumberFormat="1" applyFont="1" applyFill="1" applyBorder="1" applyAlignment="1">
      <alignment horizontal="center" vertical="center" wrapText="1"/>
    </xf>
    <xf numFmtId="0" fontId="83" fillId="2" borderId="1" xfId="6" applyFont="1" applyFill="1" applyBorder="1" applyAlignment="1">
      <alignment vertical="center" wrapText="1"/>
    </xf>
    <xf numFmtId="3" fontId="81" fillId="3" borderId="1" xfId="0" applyNumberFormat="1" applyFont="1" applyFill="1" applyBorder="1" applyAlignment="1">
      <alignment horizontal="left" vertical="center" wrapText="1"/>
    </xf>
    <xf numFmtId="3" fontId="81" fillId="0" borderId="1" xfId="6" applyNumberFormat="1" applyFont="1" applyBorder="1" applyAlignment="1" applyProtection="1">
      <alignment horizontal="right" vertical="center"/>
      <protection locked="0"/>
    </xf>
    <xf numFmtId="3" fontId="81" fillId="3" borderId="1" xfId="6" applyNumberFormat="1" applyFont="1" applyFill="1" applyBorder="1" applyAlignment="1" applyProtection="1">
      <alignment vertical="center"/>
      <protection locked="0"/>
    </xf>
    <xf numFmtId="3" fontId="81" fillId="3" borderId="1" xfId="6" applyNumberFormat="1" applyFont="1" applyFill="1" applyBorder="1" applyAlignment="1" applyProtection="1">
      <alignment horizontal="right" vertical="center"/>
      <protection locked="0"/>
    </xf>
    <xf numFmtId="3" fontId="82" fillId="3" borderId="1" xfId="6" applyNumberFormat="1" applyFont="1" applyFill="1" applyBorder="1" applyAlignment="1" applyProtection="1">
      <alignment horizontal="center" vertical="center"/>
      <protection locked="0"/>
    </xf>
    <xf numFmtId="3" fontId="83" fillId="2" borderId="1" xfId="0" applyNumberFormat="1" applyFont="1" applyFill="1" applyBorder="1" applyAlignment="1">
      <alignment horizontal="left" vertical="center" wrapText="1"/>
    </xf>
    <xf numFmtId="3" fontId="83" fillId="2" borderId="1" xfId="6" applyNumberFormat="1" applyFont="1" applyFill="1" applyBorder="1" applyAlignment="1" applyProtection="1">
      <alignment horizontal="right" vertical="center"/>
      <protection locked="0"/>
    </xf>
    <xf numFmtId="3" fontId="83" fillId="2" borderId="1" xfId="6" applyNumberFormat="1" applyFont="1" applyFill="1" applyBorder="1" applyAlignment="1" applyProtection="1">
      <alignment vertical="center"/>
      <protection locked="0"/>
    </xf>
    <xf numFmtId="3" fontId="84" fillId="2" borderId="1" xfId="6" applyNumberFormat="1" applyFont="1" applyFill="1" applyBorder="1" applyAlignment="1" applyProtection="1">
      <alignment horizontal="center" vertical="center"/>
      <protection locked="0"/>
    </xf>
    <xf numFmtId="3" fontId="83" fillId="2" borderId="1" xfId="6" applyNumberFormat="1" applyFont="1" applyFill="1" applyBorder="1" applyAlignment="1">
      <alignment vertical="center"/>
    </xf>
    <xf numFmtId="3" fontId="81" fillId="0" borderId="1" xfId="0" applyNumberFormat="1" applyFont="1" applyBorder="1" applyAlignment="1">
      <alignment horizontal="left" vertical="center" wrapText="1"/>
    </xf>
    <xf numFmtId="3" fontId="81" fillId="0" borderId="1" xfId="6" applyNumberFormat="1" applyFont="1" applyBorder="1" applyAlignment="1" applyProtection="1">
      <alignment vertical="center"/>
      <protection locked="0"/>
    </xf>
    <xf numFmtId="3" fontId="82" fillId="0" borderId="1" xfId="6" applyNumberFormat="1" applyFont="1" applyBorder="1" applyAlignment="1" applyProtection="1">
      <alignment horizontal="center" vertical="center"/>
      <protection locked="0"/>
    </xf>
    <xf numFmtId="3" fontId="83" fillId="0" borderId="1" xfId="6" applyNumberFormat="1" applyFont="1" applyBorder="1" applyAlignment="1">
      <alignment vertical="center" wrapText="1"/>
    </xf>
    <xf numFmtId="3" fontId="83" fillId="0" borderId="1" xfId="6" applyNumberFormat="1" applyFont="1" applyBorder="1" applyAlignment="1" applyProtection="1">
      <alignment horizontal="right" vertical="center"/>
      <protection locked="0"/>
    </xf>
    <xf numFmtId="3" fontId="83" fillId="0" borderId="1" xfId="6" applyNumberFormat="1" applyFont="1" applyBorder="1" applyAlignment="1" applyProtection="1">
      <alignment vertical="center"/>
      <protection locked="0"/>
    </xf>
    <xf numFmtId="3" fontId="84" fillId="0" borderId="1" xfId="6" applyNumberFormat="1" applyFont="1" applyBorder="1" applyAlignment="1" applyProtection="1">
      <alignment horizontal="center" vertical="center"/>
      <protection locked="0"/>
    </xf>
    <xf numFmtId="3" fontId="83" fillId="0" borderId="1" xfId="1" applyNumberFormat="1" applyFont="1" applyBorder="1" applyAlignment="1">
      <alignment horizontal="left" vertical="center" wrapText="1"/>
    </xf>
    <xf numFmtId="3" fontId="83" fillId="33" borderId="1" xfId="6" applyNumberFormat="1" applyFont="1" applyFill="1" applyBorder="1" applyAlignment="1">
      <alignment horizontal="right" vertical="center"/>
    </xf>
    <xf numFmtId="0" fontId="81" fillId="3" borderId="1" xfId="6" applyFont="1" applyFill="1" applyBorder="1" applyAlignment="1">
      <alignment horizontal="left" vertical="center" wrapText="1"/>
    </xf>
    <xf numFmtId="0" fontId="83" fillId="6" borderId="1" xfId="6" applyFont="1" applyFill="1" applyBorder="1" applyAlignment="1">
      <alignment vertical="center" wrapText="1"/>
    </xf>
    <xf numFmtId="3" fontId="83" fillId="6" borderId="1" xfId="6" applyNumberFormat="1" applyFont="1" applyFill="1" applyBorder="1" applyAlignment="1">
      <alignment horizontal="right" vertical="center"/>
    </xf>
    <xf numFmtId="3" fontId="84" fillId="6" borderId="1" xfId="6" applyNumberFormat="1" applyFont="1" applyFill="1" applyBorder="1" applyAlignment="1">
      <alignment horizontal="center" vertical="center"/>
    </xf>
    <xf numFmtId="0" fontId="83" fillId="6" borderId="1" xfId="0" applyFont="1" applyFill="1" applyBorder="1" applyAlignment="1">
      <alignment vertical="center" wrapText="1"/>
    </xf>
    <xf numFmtId="3" fontId="83" fillId="33" borderId="1" xfId="0" applyNumberFormat="1" applyFont="1" applyFill="1" applyBorder="1" applyAlignment="1">
      <alignment horizontal="right" vertical="center"/>
    </xf>
    <xf numFmtId="3" fontId="83" fillId="6" borderId="1" xfId="0" applyNumberFormat="1" applyFont="1" applyFill="1" applyBorder="1" applyAlignment="1">
      <alignment horizontal="right" vertical="center"/>
    </xf>
    <xf numFmtId="3" fontId="84" fillId="6" borderId="1" xfId="0" applyNumberFormat="1" applyFont="1" applyFill="1" applyBorder="1" applyAlignment="1">
      <alignment horizontal="center" vertical="center"/>
    </xf>
    <xf numFmtId="0" fontId="83" fillId="0" borderId="1" xfId="0" applyFont="1" applyBorder="1" applyAlignment="1">
      <alignment vertical="center" wrapText="1"/>
    </xf>
    <xf numFmtId="3" fontId="83" fillId="0" borderId="1" xfId="0" applyNumberFormat="1" applyFont="1" applyBorder="1" applyAlignment="1" applyProtection="1">
      <alignment horizontal="right" vertical="center"/>
      <protection locked="0"/>
    </xf>
    <xf numFmtId="3" fontId="83" fillId="0" borderId="1" xfId="0" applyNumberFormat="1" applyFont="1" applyBorder="1" applyAlignment="1" applyProtection="1">
      <alignment vertical="center"/>
      <protection locked="0"/>
    </xf>
    <xf numFmtId="3" fontId="84" fillId="0" borderId="1" xfId="0" applyNumberFormat="1" applyFont="1" applyBorder="1" applyAlignment="1" applyProtection="1">
      <alignment horizontal="center" vertical="center"/>
      <protection locked="0"/>
    </xf>
    <xf numFmtId="3" fontId="83" fillId="6" borderId="1" xfId="6" applyNumberFormat="1" applyFont="1" applyFill="1" applyBorder="1" applyAlignment="1">
      <alignment vertical="center" wrapText="1"/>
    </xf>
    <xf numFmtId="3" fontId="83" fillId="0" borderId="1" xfId="0" applyNumberFormat="1" applyFont="1" applyBorder="1" applyAlignment="1">
      <alignment horizontal="right" vertical="center"/>
    </xf>
    <xf numFmtId="3" fontId="84" fillId="0" borderId="1" xfId="0" applyNumberFormat="1" applyFont="1" applyBorder="1" applyAlignment="1">
      <alignment horizontal="center" vertical="center"/>
    </xf>
    <xf numFmtId="0" fontId="83" fillId="2" borderId="1" xfId="0" applyFont="1" applyFill="1" applyBorder="1" applyAlignment="1">
      <alignment horizontal="left" vertical="center" wrapText="1"/>
    </xf>
    <xf numFmtId="3" fontId="83" fillId="2" borderId="1" xfId="0" applyNumberFormat="1" applyFont="1" applyFill="1" applyBorder="1" applyAlignment="1">
      <alignment horizontal="right" vertical="center"/>
    </xf>
    <xf numFmtId="3" fontId="84" fillId="2" borderId="1" xfId="0" applyNumberFormat="1" applyFont="1" applyFill="1" applyBorder="1" applyAlignment="1">
      <alignment horizontal="center" vertical="center"/>
    </xf>
    <xf numFmtId="3" fontId="81" fillId="0" borderId="1" xfId="0" applyNumberFormat="1" applyFont="1" applyBorder="1" applyAlignment="1">
      <alignment horizontal="right" vertical="center"/>
    </xf>
    <xf numFmtId="3" fontId="81" fillId="0" borderId="1" xfId="0" applyNumberFormat="1" applyFont="1" applyBorder="1" applyAlignment="1">
      <alignment vertical="center"/>
    </xf>
    <xf numFmtId="3" fontId="82" fillId="0" borderId="1" xfId="0" applyNumberFormat="1" applyFont="1" applyBorder="1" applyAlignment="1">
      <alignment horizontal="center" vertical="center"/>
    </xf>
    <xf numFmtId="0" fontId="81" fillId="3" borderId="1" xfId="6" applyFont="1" applyFill="1" applyBorder="1" applyAlignment="1" applyProtection="1">
      <alignment horizontal="left" vertical="center" wrapText="1"/>
      <protection locked="0"/>
    </xf>
    <xf numFmtId="3" fontId="81" fillId="0" borderId="1" xfId="0" applyNumberFormat="1" applyFont="1" applyBorder="1" applyAlignment="1" applyProtection="1">
      <alignment horizontal="right" vertical="center"/>
      <protection locked="0"/>
    </xf>
    <xf numFmtId="3" fontId="81" fillId="0" borderId="1" xfId="0" applyNumberFormat="1" applyFont="1" applyBorder="1" applyAlignment="1" applyProtection="1">
      <alignment vertical="center"/>
      <protection locked="0"/>
    </xf>
    <xf numFmtId="3" fontId="82" fillId="0" borderId="1" xfId="0" applyNumberFormat="1" applyFont="1" applyBorder="1" applyAlignment="1" applyProtection="1">
      <alignment horizontal="center" vertical="center"/>
      <protection locked="0"/>
    </xf>
    <xf numFmtId="0" fontId="83" fillId="2" borderId="4" xfId="6" applyFont="1" applyFill="1" applyBorder="1" applyAlignment="1">
      <alignment vertical="center" wrapText="1"/>
    </xf>
    <xf numFmtId="3" fontId="83" fillId="33" borderId="4" xfId="6" applyNumberFormat="1" applyFont="1" applyFill="1" applyBorder="1" applyAlignment="1">
      <alignment horizontal="right" vertical="center" wrapText="1"/>
    </xf>
    <xf numFmtId="3" fontId="83" fillId="2" borderId="4" xfId="6" applyNumberFormat="1" applyFont="1" applyFill="1" applyBorder="1" applyAlignment="1">
      <alignment horizontal="right" vertical="center" wrapText="1"/>
    </xf>
    <xf numFmtId="3" fontId="84" fillId="2" borderId="4" xfId="6" applyNumberFormat="1" applyFont="1" applyFill="1" applyBorder="1" applyAlignment="1">
      <alignment horizontal="center" vertical="center" wrapText="1"/>
    </xf>
    <xf numFmtId="16" fontId="83" fillId="2" borderId="6" xfId="6" applyNumberFormat="1" applyFont="1" applyFill="1" applyBorder="1" applyAlignment="1">
      <alignment vertical="center" wrapText="1"/>
    </xf>
    <xf numFmtId="3" fontId="83" fillId="33" borderId="6" xfId="6" applyNumberFormat="1" applyFont="1" applyFill="1" applyBorder="1" applyAlignment="1">
      <alignment horizontal="right" vertical="center" wrapText="1"/>
    </xf>
    <xf numFmtId="3" fontId="83" fillId="2" borderId="6" xfId="6" applyNumberFormat="1" applyFont="1" applyFill="1" applyBorder="1" applyAlignment="1">
      <alignment horizontal="right" vertical="center" wrapText="1"/>
    </xf>
    <xf numFmtId="3" fontId="84" fillId="2" borderId="6" xfId="6" applyNumberFormat="1" applyFont="1" applyFill="1" applyBorder="1" applyAlignment="1">
      <alignment horizontal="center" vertical="center" wrapText="1"/>
    </xf>
    <xf numFmtId="16" fontId="83" fillId="0" borderId="1" xfId="6" applyNumberFormat="1" applyFont="1" applyBorder="1" applyAlignment="1">
      <alignment vertical="center" wrapText="1"/>
    </xf>
    <xf numFmtId="0" fontId="81" fillId="0" borderId="1" xfId="6" applyFont="1" applyBorder="1" applyAlignment="1">
      <alignment vertical="center" wrapText="1"/>
    </xf>
    <xf numFmtId="3" fontId="81" fillId="0" borderId="1" xfId="6" applyNumberFormat="1" applyFont="1" applyBorder="1" applyAlignment="1">
      <alignment horizontal="right" vertical="center"/>
    </xf>
    <xf numFmtId="3" fontId="81" fillId="0" borderId="1" xfId="6" applyNumberFormat="1" applyFont="1" applyBorder="1" applyAlignment="1">
      <alignment vertical="center"/>
    </xf>
    <xf numFmtId="3" fontId="82" fillId="0" borderId="1" xfId="6" applyNumberFormat="1" applyFont="1" applyBorder="1" applyAlignment="1">
      <alignment horizontal="center" vertical="center"/>
    </xf>
    <xf numFmtId="0" fontId="81" fillId="0" borderId="1" xfId="6" applyFont="1" applyBorder="1" applyAlignment="1" applyProtection="1">
      <alignment vertical="center" wrapText="1"/>
      <protection locked="0"/>
    </xf>
    <xf numFmtId="0" fontId="81" fillId="0" borderId="1" xfId="6" applyFont="1" applyBorder="1" applyAlignment="1">
      <alignment horizontal="left" vertical="center" wrapText="1"/>
    </xf>
    <xf numFmtId="0" fontId="81" fillId="0" borderId="1" xfId="6" applyFont="1" applyBorder="1" applyAlignment="1" applyProtection="1">
      <alignment horizontal="left" vertical="center" wrapText="1"/>
      <protection locked="0"/>
    </xf>
    <xf numFmtId="3" fontId="81" fillId="0" borderId="1" xfId="6" applyNumberFormat="1" applyFont="1" applyBorder="1" applyAlignment="1">
      <alignment horizontal="left" vertical="center" wrapText="1"/>
    </xf>
    <xf numFmtId="3" fontId="81" fillId="0" borderId="1" xfId="6" applyNumberFormat="1" applyFont="1" applyBorder="1" applyAlignment="1" applyProtection="1">
      <alignment horizontal="left" vertical="center" wrapText="1"/>
      <protection locked="0"/>
    </xf>
    <xf numFmtId="3" fontId="81" fillId="0" borderId="1" xfId="6" applyNumberFormat="1" applyFont="1" applyBorder="1" applyAlignment="1">
      <alignment vertical="center" wrapText="1"/>
    </xf>
    <xf numFmtId="3" fontId="81" fillId="0" borderId="1" xfId="6" applyNumberFormat="1" applyFont="1" applyBorder="1" applyAlignment="1" applyProtection="1">
      <alignment vertical="center" wrapText="1"/>
      <protection locked="0"/>
    </xf>
    <xf numFmtId="3" fontId="83" fillId="2" borderId="1" xfId="6" applyNumberFormat="1" applyFont="1" applyFill="1" applyBorder="1" applyAlignment="1">
      <alignment vertical="center" wrapText="1"/>
    </xf>
    <xf numFmtId="49" fontId="83" fillId="2" borderId="1" xfId="6" applyNumberFormat="1" applyFont="1" applyFill="1" applyBorder="1" applyAlignment="1">
      <alignment horizontal="left" vertical="center" wrapText="1"/>
    </xf>
    <xf numFmtId="49" fontId="83" fillId="0" borderId="1" xfId="6" applyNumberFormat="1" applyFont="1" applyBorder="1" applyAlignment="1">
      <alignment horizontal="left" vertical="center" wrapText="1"/>
    </xf>
    <xf numFmtId="0" fontId="48" fillId="0" borderId="1" xfId="12" applyNumberFormat="1" applyFont="1" applyFill="1" applyBorder="1" applyAlignment="1" applyProtection="1">
      <alignment horizontal="left" vertical="center" wrapText="1"/>
    </xf>
    <xf numFmtId="3" fontId="51" fillId="3" borderId="1" xfId="0" applyNumberFormat="1" applyFont="1" applyFill="1" applyBorder="1" applyAlignment="1" applyProtection="1">
      <alignment horizontal="left" vertical="center" wrapText="1"/>
      <protection locked="0"/>
    </xf>
    <xf numFmtId="1" fontId="78" fillId="0" borderId="1" xfId="0" applyNumberFormat="1" applyFont="1" applyBorder="1" applyAlignment="1">
      <alignment horizontal="right" vertical="center" wrapText="1"/>
    </xf>
    <xf numFmtId="1" fontId="78" fillId="0" borderId="1" xfId="0" quotePrefix="1" applyNumberFormat="1" applyFont="1" applyBorder="1" applyAlignment="1" applyProtection="1">
      <alignment horizontal="right" vertical="center" wrapText="1"/>
      <protection locked="0"/>
    </xf>
    <xf numFmtId="0" fontId="56" fillId="0" borderId="0" xfId="0" applyFont="1" applyAlignment="1">
      <alignment wrapText="1"/>
    </xf>
    <xf numFmtId="0" fontId="56" fillId="0" borderId="1" xfId="0" applyFont="1" applyBorder="1" applyAlignment="1">
      <alignment vertical="center" wrapText="1"/>
    </xf>
    <xf numFmtId="49" fontId="48" fillId="0" borderId="1" xfId="6" applyNumberFormat="1" applyFont="1" applyBorder="1" applyAlignment="1" applyProtection="1">
      <alignment horizontal="left" vertical="center" wrapText="1"/>
      <protection locked="0"/>
    </xf>
    <xf numFmtId="0" fontId="56" fillId="32" borderId="1" xfId="0" applyFont="1" applyFill="1" applyBorder="1" applyAlignment="1">
      <alignment wrapText="1"/>
    </xf>
    <xf numFmtId="49" fontId="48" fillId="32" borderId="1" xfId="6" applyNumberFormat="1" applyFont="1" applyFill="1" applyBorder="1" applyAlignment="1" applyProtection="1">
      <alignment horizontal="left" vertical="center" wrapText="1"/>
      <protection locked="0"/>
    </xf>
    <xf numFmtId="3" fontId="51" fillId="32" borderId="1" xfId="0" applyNumberFormat="1" applyFont="1" applyFill="1" applyBorder="1" applyAlignment="1">
      <alignment vertical="center" wrapText="1"/>
    </xf>
    <xf numFmtId="3" fontId="51" fillId="32" borderId="4" xfId="0" applyNumberFormat="1" applyFont="1" applyFill="1" applyBorder="1" applyAlignment="1">
      <alignment horizontal="left" vertical="center" wrapText="1"/>
    </xf>
    <xf numFmtId="3" fontId="51" fillId="32" borderId="1" xfId="0" applyNumberFormat="1" applyFont="1" applyFill="1" applyBorder="1" applyAlignment="1" applyProtection="1">
      <alignment horizontal="left" vertical="center" wrapText="1"/>
      <protection locked="0"/>
    </xf>
    <xf numFmtId="166" fontId="44" fillId="0" borderId="1" xfId="12" applyNumberFormat="1" applyFont="1" applyFill="1" applyBorder="1" applyAlignment="1" applyProtection="1">
      <alignment horizontal="left" vertical="center" wrapText="1"/>
      <protection locked="0"/>
    </xf>
    <xf numFmtId="3" fontId="60" fillId="3" borderId="1" xfId="0" applyNumberFormat="1" applyFont="1" applyFill="1" applyBorder="1" applyAlignment="1" applyProtection="1">
      <alignment horizontal="left" vertical="center" wrapText="1"/>
      <protection locked="0"/>
    </xf>
    <xf numFmtId="3" fontId="51" fillId="32" borderId="1" xfId="0" applyNumberFormat="1" applyFont="1" applyFill="1" applyBorder="1" applyAlignment="1" applyProtection="1">
      <alignment vertical="center" wrapText="1"/>
      <protection locked="0"/>
    </xf>
    <xf numFmtId="3" fontId="51" fillId="32" borderId="4" xfId="0" applyNumberFormat="1" applyFont="1" applyFill="1" applyBorder="1" applyAlignment="1">
      <alignment vertical="center" wrapText="1"/>
    </xf>
    <xf numFmtId="0" fontId="51" fillId="32" borderId="1" xfId="0" applyFont="1" applyFill="1" applyBorder="1" applyAlignment="1">
      <alignment horizontal="justify" vertical="center"/>
    </xf>
    <xf numFmtId="3" fontId="36" fillId="32" borderId="1" xfId="0" applyNumberFormat="1" applyFont="1" applyFill="1" applyBorder="1" applyAlignment="1" applyProtection="1">
      <alignment horizontal="left" vertical="center" wrapText="1"/>
      <protection locked="0"/>
    </xf>
    <xf numFmtId="3" fontId="36" fillId="32" borderId="1" xfId="0" applyNumberFormat="1" applyFont="1" applyFill="1" applyBorder="1" applyAlignment="1">
      <alignment vertical="center" wrapText="1"/>
    </xf>
    <xf numFmtId="0" fontId="51" fillId="32" borderId="1" xfId="0" applyFont="1" applyFill="1" applyBorder="1" applyAlignment="1">
      <alignment vertical="center" wrapText="1"/>
    </xf>
    <xf numFmtId="3" fontId="51" fillId="32" borderId="0" xfId="0" applyNumberFormat="1" applyFont="1" applyFill="1" applyAlignment="1">
      <alignment horizontal="left" vertical="center" wrapText="1"/>
    </xf>
    <xf numFmtId="0" fontId="71" fillId="32" borderId="1" xfId="0" applyFont="1" applyFill="1" applyBorder="1" applyAlignment="1">
      <alignment vertical="center" wrapText="1"/>
    </xf>
    <xf numFmtId="0" fontId="71" fillId="32" borderId="6" xfId="0" applyFont="1" applyFill="1" applyBorder="1" applyAlignment="1">
      <alignment vertical="center" wrapText="1"/>
    </xf>
    <xf numFmtId="49" fontId="71" fillId="32" borderId="1" xfId="6" applyNumberFormat="1" applyFont="1" applyFill="1" applyBorder="1" applyAlignment="1">
      <alignment vertical="top" wrapText="1"/>
    </xf>
    <xf numFmtId="49" fontId="42" fillId="32" borderId="1" xfId="1467" applyNumberFormat="1" applyFont="1" applyFill="1" applyBorder="1" applyAlignment="1" applyProtection="1">
      <alignment horizontal="left" vertical="top" wrapText="1"/>
      <protection locked="0"/>
    </xf>
    <xf numFmtId="166" fontId="44" fillId="0" borderId="1" xfId="12" applyNumberFormat="1" applyFont="1" applyBorder="1" applyAlignment="1" applyProtection="1">
      <alignment horizontal="center" vertical="center"/>
      <protection locked="0"/>
    </xf>
    <xf numFmtId="3" fontId="48" fillId="0" borderId="1" xfId="0" applyNumberFormat="1" applyFont="1" applyBorder="1" applyAlignment="1">
      <alignment horizontal="center" vertical="center" wrapText="1"/>
    </xf>
    <xf numFmtId="3" fontId="48" fillId="0" borderId="1" xfId="1467" applyNumberFormat="1" applyFont="1" applyBorder="1" applyAlignment="1" applyProtection="1">
      <alignment horizontal="center" vertical="center"/>
      <protection locked="0"/>
    </xf>
    <xf numFmtId="168" fontId="48" fillId="0" borderId="1" xfId="0" applyNumberFormat="1" applyFont="1" applyBorder="1" applyAlignment="1">
      <alignment horizontal="center" vertical="center"/>
    </xf>
    <xf numFmtId="168" fontId="48" fillId="0" borderId="0" xfId="0" applyNumberFormat="1" applyFont="1" applyAlignment="1">
      <alignment horizontal="center" vertical="center"/>
    </xf>
    <xf numFmtId="3" fontId="47" fillId="2" borderId="1" xfId="1467" applyNumberFormat="1" applyFont="1" applyFill="1" applyBorder="1" applyAlignment="1">
      <alignment horizontal="center" vertical="center"/>
    </xf>
    <xf numFmtId="3" fontId="47" fillId="6" borderId="1" xfId="1467" applyNumberFormat="1" applyFont="1" applyFill="1" applyBorder="1" applyAlignment="1">
      <alignment horizontal="center" vertical="center"/>
    </xf>
    <xf numFmtId="0" fontId="48" fillId="0" borderId="0" xfId="0" applyFont="1" applyAlignment="1">
      <alignment horizontal="center" vertical="center"/>
    </xf>
    <xf numFmtId="3" fontId="48" fillId="0" borderId="1" xfId="0" applyNumberFormat="1" applyFont="1" applyBorder="1" applyAlignment="1">
      <alignment horizontal="center" vertical="center"/>
    </xf>
    <xf numFmtId="0" fontId="69" fillId="34" borderId="1" xfId="0" applyFont="1" applyFill="1" applyBorder="1" applyAlignment="1">
      <alignment horizontal="right" vertical="center" wrapText="1"/>
    </xf>
    <xf numFmtId="3" fontId="69" fillId="34" borderId="1" xfId="0" applyNumberFormat="1" applyFont="1" applyFill="1" applyBorder="1" applyAlignment="1">
      <alignment horizontal="right" vertical="center" wrapText="1"/>
    </xf>
    <xf numFmtId="3" fontId="69" fillId="2" borderId="1" xfId="6" applyNumberFormat="1" applyFont="1" applyFill="1" applyBorder="1" applyAlignment="1">
      <alignment horizontal="right" vertical="center" wrapText="1"/>
    </xf>
    <xf numFmtId="3" fontId="69" fillId="4" borderId="1" xfId="6" applyNumberFormat="1" applyFont="1" applyFill="1" applyBorder="1" applyAlignment="1">
      <alignment horizontal="right" vertical="center" wrapText="1"/>
    </xf>
    <xf numFmtId="3" fontId="36" fillId="0" borderId="1" xfId="6" applyNumberFormat="1" applyFont="1" applyBorder="1" applyAlignment="1">
      <alignment horizontal="right" vertical="center" wrapText="1"/>
    </xf>
    <xf numFmtId="168" fontId="36" fillId="0" borderId="29" xfId="0" applyNumberFormat="1" applyFont="1" applyBorder="1"/>
    <xf numFmtId="3" fontId="36" fillId="0" borderId="1" xfId="6" applyNumberFormat="1" applyFont="1" applyBorder="1" applyAlignment="1" applyProtection="1">
      <alignment horizontal="right" vertical="center"/>
      <protection locked="0"/>
    </xf>
    <xf numFmtId="1" fontId="36" fillId="0" borderId="1" xfId="0" applyNumberFormat="1" applyFont="1" applyBorder="1" applyAlignment="1">
      <alignment horizontal="right" vertical="center" wrapText="1"/>
    </xf>
    <xf numFmtId="3" fontId="69" fillId="4" borderId="4" xfId="0" applyNumberFormat="1" applyFont="1" applyFill="1" applyBorder="1" applyAlignment="1">
      <alignment horizontal="right" vertical="center" wrapText="1"/>
    </xf>
    <xf numFmtId="3" fontId="69" fillId="34" borderId="1" xfId="0" applyNumberFormat="1" applyFont="1" applyFill="1" applyBorder="1" applyAlignment="1">
      <alignment horizontal="right"/>
    </xf>
    <xf numFmtId="0" fontId="86" fillId="0" borderId="0" xfId="0" applyFont="1"/>
    <xf numFmtId="3" fontId="74" fillId="6" borderId="1" xfId="0" applyNumberFormat="1" applyFont="1" applyFill="1" applyBorder="1" applyAlignment="1">
      <alignment horizontal="right" vertical="center"/>
    </xf>
    <xf numFmtId="3" fontId="74" fillId="0" borderId="1" xfId="0" applyNumberFormat="1" applyFont="1" applyBorder="1" applyAlignment="1" applyProtection="1">
      <alignment horizontal="right" vertical="center"/>
      <protection locked="0"/>
    </xf>
    <xf numFmtId="3" fontId="74" fillId="0" borderId="1" xfId="0" applyNumberFormat="1" applyFont="1" applyBorder="1" applyAlignment="1">
      <alignment horizontal="right" vertical="center"/>
    </xf>
    <xf numFmtId="3" fontId="74" fillId="2" borderId="1" xfId="0" applyNumberFormat="1" applyFont="1" applyFill="1" applyBorder="1" applyAlignment="1">
      <alignment horizontal="right" vertical="center"/>
    </xf>
    <xf numFmtId="3" fontId="71" fillId="0" borderId="1" xfId="0" applyNumberFormat="1" applyFont="1" applyBorder="1" applyAlignment="1">
      <alignment horizontal="right" vertical="center"/>
    </xf>
    <xf numFmtId="3" fontId="71" fillId="0" borderId="1" xfId="0" applyNumberFormat="1" applyFont="1" applyBorder="1" applyAlignment="1" applyProtection="1">
      <alignment horizontal="right" vertical="center"/>
      <protection locked="0"/>
    </xf>
    <xf numFmtId="3" fontId="71" fillId="0" borderId="1" xfId="0" applyNumberFormat="1" applyFont="1" applyBorder="1" applyAlignment="1" applyProtection="1">
      <alignment vertical="center"/>
      <protection locked="0"/>
    </xf>
    <xf numFmtId="49" fontId="74" fillId="32" borderId="7" xfId="0" applyNumberFormat="1" applyFont="1" applyFill="1" applyBorder="1" applyAlignment="1">
      <alignment vertical="center" wrapText="1"/>
    </xf>
    <xf numFmtId="49" fontId="74" fillId="32" borderId="6" xfId="0" applyNumberFormat="1" applyFont="1" applyFill="1" applyBorder="1" applyAlignment="1">
      <alignment vertical="center" wrapText="1"/>
    </xf>
    <xf numFmtId="0" fontId="71" fillId="32" borderId="4" xfId="6" applyFont="1" applyFill="1" applyBorder="1" applyAlignment="1">
      <alignment vertical="center" wrapText="1"/>
    </xf>
    <xf numFmtId="0" fontId="36" fillId="32" borderId="8" xfId="0" applyFont="1" applyFill="1" applyBorder="1" applyAlignment="1">
      <alignment vertical="center" wrapText="1"/>
    </xf>
    <xf numFmtId="0" fontId="36" fillId="32" borderId="28" xfId="0" applyFont="1" applyFill="1" applyBorder="1" applyAlignment="1">
      <alignment vertical="center" wrapText="1"/>
    </xf>
    <xf numFmtId="49" fontId="42" fillId="32" borderId="1" xfId="1" applyNumberFormat="1" applyFont="1" applyFill="1" applyBorder="1" applyAlignment="1">
      <alignment vertical="center" wrapText="1"/>
    </xf>
    <xf numFmtId="49" fontId="42" fillId="0" borderId="1" xfId="1" applyNumberFormat="1" applyFont="1" applyBorder="1" applyAlignment="1">
      <alignment vertical="center" wrapText="1"/>
    </xf>
    <xf numFmtId="49" fontId="42" fillId="32" borderId="1" xfId="1" applyNumberFormat="1" applyFont="1" applyFill="1" applyBorder="1" applyAlignment="1" applyProtection="1">
      <alignment horizontal="left" vertical="center" wrapText="1"/>
      <protection locked="0"/>
    </xf>
    <xf numFmtId="0" fontId="42" fillId="32" borderId="0" xfId="0" applyFont="1" applyFill="1" applyAlignment="1" applyProtection="1">
      <alignment wrapText="1"/>
      <protection locked="0"/>
    </xf>
    <xf numFmtId="3" fontId="43" fillId="2" borderId="1" xfId="1" applyNumberFormat="1" applyFont="1" applyFill="1" applyBorder="1" applyAlignment="1">
      <alignment horizontal="right" vertical="center"/>
    </xf>
    <xf numFmtId="3" fontId="42" fillId="0" borderId="1" xfId="1" applyNumberFormat="1" applyFont="1" applyBorder="1" applyAlignment="1" applyProtection="1">
      <alignment horizontal="right" vertical="center"/>
      <protection locked="0"/>
    </xf>
    <xf numFmtId="3" fontId="42" fillId="2" borderId="1" xfId="1" applyNumberFormat="1" applyFont="1" applyFill="1" applyBorder="1" applyAlignment="1">
      <alignment horizontal="right" vertical="center"/>
    </xf>
    <xf numFmtId="3" fontId="43" fillId="2" borderId="1" xfId="1" applyNumberFormat="1" applyFont="1" applyFill="1" applyBorder="1" applyAlignment="1" applyProtection="1">
      <alignment horizontal="right" vertical="center"/>
      <protection locked="0"/>
    </xf>
    <xf numFmtId="3" fontId="42" fillId="3" borderId="1" xfId="1" applyNumberFormat="1" applyFont="1" applyFill="1" applyBorder="1" applyAlignment="1" applyProtection="1">
      <alignment horizontal="right" vertical="center"/>
      <protection locked="0"/>
    </xf>
    <xf numFmtId="168" fontId="66" fillId="0" borderId="1" xfId="1" applyNumberFormat="1" applyFont="1" applyBorder="1"/>
    <xf numFmtId="3" fontId="52" fillId="4" borderId="1" xfId="0" applyNumberFormat="1" applyFont="1" applyFill="1" applyBorder="1" applyAlignment="1" applyProtection="1">
      <alignment vertical="center"/>
      <protection locked="0"/>
    </xf>
    <xf numFmtId="3" fontId="52" fillId="4" borderId="1" xfId="7" applyNumberFormat="1" applyFont="1" applyFill="1" applyBorder="1" applyAlignment="1" applyProtection="1">
      <alignment vertical="center"/>
      <protection locked="0"/>
    </xf>
    <xf numFmtId="3" fontId="52" fillId="4" borderId="1" xfId="5" applyNumberFormat="1" applyFont="1" applyFill="1" applyBorder="1" applyAlignment="1" applyProtection="1">
      <alignment vertical="center"/>
      <protection locked="0"/>
    </xf>
    <xf numFmtId="3" fontId="52" fillId="4" borderId="1" xfId="5" applyNumberFormat="1" applyFont="1" applyFill="1" applyBorder="1" applyAlignment="1" applyProtection="1">
      <alignment vertical="center" wrapText="1"/>
      <protection locked="0"/>
    </xf>
    <xf numFmtId="3" fontId="52" fillId="0" borderId="1" xfId="5" applyNumberFormat="1" applyFont="1" applyBorder="1" applyAlignment="1" applyProtection="1">
      <alignment vertical="center"/>
      <protection locked="0"/>
    </xf>
    <xf numFmtId="3" fontId="53" fillId="0" borderId="1" xfId="5" applyNumberFormat="1" applyFont="1" applyBorder="1" applyAlignment="1" applyProtection="1">
      <alignment vertical="center" wrapText="1"/>
      <protection locked="0"/>
    </xf>
    <xf numFmtId="1" fontId="53" fillId="0" borderId="1" xfId="0" applyNumberFormat="1" applyFont="1" applyBorder="1"/>
    <xf numFmtId="3" fontId="52" fillId="0" borderId="1" xfId="7" applyNumberFormat="1" applyFont="1" applyBorder="1" applyAlignment="1" applyProtection="1">
      <alignment vertical="center"/>
      <protection locked="0"/>
    </xf>
    <xf numFmtId="3" fontId="87" fillId="0" borderId="1" xfId="6" applyNumberFormat="1" applyFont="1" applyBorder="1" applyAlignment="1">
      <alignment vertical="center" wrapText="1"/>
    </xf>
    <xf numFmtId="3" fontId="53" fillId="0" borderId="1" xfId="5" applyNumberFormat="1" applyFont="1" applyBorder="1" applyAlignment="1" applyProtection="1">
      <alignment vertical="center"/>
      <protection locked="0"/>
    </xf>
    <xf numFmtId="3" fontId="53" fillId="0" borderId="1" xfId="7" applyNumberFormat="1" applyFont="1" applyBorder="1" applyAlignment="1" applyProtection="1">
      <alignment horizontal="right" vertical="center"/>
      <protection locked="0"/>
    </xf>
    <xf numFmtId="3" fontId="53" fillId="0" borderId="0" xfId="1" applyNumberFormat="1" applyFont="1" applyAlignment="1">
      <alignment horizontal="center"/>
    </xf>
    <xf numFmtId="3" fontId="52" fillId="0" borderId="1" xfId="5" applyNumberFormat="1" applyFont="1" applyBorder="1" applyAlignment="1" applyProtection="1">
      <alignment vertical="center" wrapText="1"/>
      <protection locked="0"/>
    </xf>
    <xf numFmtId="0" fontId="70" fillId="0" borderId="29" xfId="0" applyFont="1" applyBorder="1"/>
    <xf numFmtId="0" fontId="53" fillId="0" borderId="29" xfId="0" applyFont="1" applyBorder="1"/>
    <xf numFmtId="3" fontId="53" fillId="0" borderId="3" xfId="0" applyNumberFormat="1" applyFont="1" applyBorder="1" applyAlignment="1" applyProtection="1">
      <alignment horizontal="right" vertical="center"/>
      <protection locked="0"/>
    </xf>
    <xf numFmtId="3" fontId="52" fillId="4" borderId="4" xfId="0" applyNumberFormat="1" applyFont="1" applyFill="1" applyBorder="1" applyAlignment="1" applyProtection="1">
      <alignment horizontal="center" vertical="center"/>
      <protection locked="0"/>
    </xf>
    <xf numFmtId="3" fontId="53" fillId="0" borderId="1" xfId="0" applyNumberFormat="1" applyFont="1" applyBorder="1" applyAlignment="1" applyProtection="1">
      <alignment horizontal="center" vertical="center"/>
      <protection locked="0"/>
    </xf>
    <xf numFmtId="3" fontId="53" fillId="0" borderId="0" xfId="0" applyNumberFormat="1" applyFont="1" applyAlignment="1">
      <alignment horizontal="center"/>
    </xf>
    <xf numFmtId="3" fontId="53" fillId="0" borderId="1" xfId="0" applyNumberFormat="1" applyFont="1" applyBorder="1" applyAlignment="1">
      <alignment horizontal="center"/>
    </xf>
    <xf numFmtId="3" fontId="52" fillId="2" borderId="1" xfId="0" applyNumberFormat="1" applyFont="1" applyFill="1" applyBorder="1" applyAlignment="1" applyProtection="1">
      <alignment horizontal="center" vertical="center"/>
      <protection locked="0"/>
    </xf>
    <xf numFmtId="3" fontId="52" fillId="2" borderId="1" xfId="1" applyNumberFormat="1" applyFont="1" applyFill="1" applyBorder="1" applyAlignment="1">
      <alignment horizontal="center" vertical="center"/>
    </xf>
    <xf numFmtId="3" fontId="52" fillId="2" borderId="1" xfId="1" applyNumberFormat="1" applyFont="1" applyFill="1" applyBorder="1" applyAlignment="1">
      <alignment vertical="center"/>
    </xf>
    <xf numFmtId="3" fontId="53" fillId="2" borderId="1" xfId="1" applyNumberFormat="1" applyFont="1" applyFill="1" applyBorder="1" applyAlignment="1">
      <alignment vertical="center" wrapText="1"/>
    </xf>
    <xf numFmtId="3" fontId="53" fillId="0" borderId="1" xfId="1" applyNumberFormat="1" applyFont="1" applyBorder="1" applyAlignment="1">
      <alignment horizontal="center" vertical="center"/>
    </xf>
    <xf numFmtId="3" fontId="52" fillId="0" borderId="1" xfId="1" applyNumberFormat="1" applyFont="1" applyBorder="1" applyAlignment="1">
      <alignment vertical="center"/>
    </xf>
    <xf numFmtId="0" fontId="51" fillId="0" borderId="0" xfId="1" applyFont="1" applyAlignment="1">
      <alignment vertical="center" wrapText="1"/>
    </xf>
    <xf numFmtId="3" fontId="52" fillId="0" borderId="1" xfId="1" applyNumberFormat="1" applyFont="1" applyBorder="1" applyAlignment="1">
      <alignment horizontal="center" vertical="center"/>
    </xf>
    <xf numFmtId="3" fontId="53" fillId="0" borderId="1" xfId="1" applyNumberFormat="1" applyFont="1" applyBorder="1" applyAlignment="1">
      <alignment vertical="center"/>
    </xf>
    <xf numFmtId="3" fontId="53" fillId="0" borderId="5" xfId="1" applyNumberFormat="1" applyFont="1" applyBorder="1" applyAlignment="1">
      <alignment vertical="center"/>
    </xf>
    <xf numFmtId="0" fontId="53" fillId="0" borderId="1" xfId="1" applyFont="1" applyBorder="1" applyAlignment="1">
      <alignment vertical="center" wrapText="1"/>
    </xf>
    <xf numFmtId="3" fontId="52" fillId="2" borderId="1" xfId="1" applyNumberFormat="1" applyFont="1" applyFill="1" applyBorder="1" applyAlignment="1">
      <alignment vertical="center" wrapText="1"/>
    </xf>
    <xf numFmtId="3" fontId="53" fillId="0" borderId="1" xfId="1" applyNumberFormat="1" applyFont="1" applyBorder="1" applyAlignment="1">
      <alignment horizontal="right" vertical="center"/>
    </xf>
    <xf numFmtId="168" fontId="53" fillId="0" borderId="1" xfId="0" applyNumberFormat="1" applyFont="1" applyBorder="1"/>
    <xf numFmtId="168" fontId="53" fillId="0" borderId="1" xfId="1" applyNumberFormat="1" applyFont="1" applyBorder="1" applyAlignment="1">
      <alignment vertical="center"/>
    </xf>
    <xf numFmtId="168" fontId="53" fillId="0" borderId="25" xfId="0" applyNumberFormat="1" applyFont="1" applyBorder="1"/>
    <xf numFmtId="168" fontId="53" fillId="0" borderId="26" xfId="0" applyNumberFormat="1" applyFont="1" applyBorder="1"/>
    <xf numFmtId="168" fontId="53" fillId="0" borderId="1" xfId="1" applyNumberFormat="1" applyFont="1" applyBorder="1" applyAlignment="1">
      <alignment horizontal="right"/>
    </xf>
    <xf numFmtId="168" fontId="53" fillId="0" borderId="3" xfId="1" applyNumberFormat="1" applyFont="1" applyBorder="1" applyAlignment="1">
      <alignment vertical="center"/>
    </xf>
    <xf numFmtId="168" fontId="53" fillId="0" borderId="3" xfId="1" applyNumberFormat="1" applyFont="1" applyBorder="1"/>
    <xf numFmtId="3" fontId="53" fillId="3" borderId="1" xfId="1" applyNumberFormat="1" applyFont="1" applyFill="1" applyBorder="1" applyAlignment="1">
      <alignment horizontal="right" vertical="center"/>
    </xf>
    <xf numFmtId="3" fontId="53" fillId="0" borderId="3" xfId="1" applyNumberFormat="1" applyFont="1" applyBorder="1"/>
    <xf numFmtId="3" fontId="53" fillId="0" borderId="1" xfId="1" applyNumberFormat="1" applyFont="1" applyBorder="1"/>
    <xf numFmtId="3" fontId="53" fillId="0" borderId="1" xfId="1" applyNumberFormat="1" applyFont="1" applyBorder="1" applyAlignment="1">
      <alignment horizontal="right"/>
    </xf>
    <xf numFmtId="0" fontId="51" fillId="32" borderId="4" xfId="0" applyFont="1" applyFill="1" applyBorder="1" applyAlignment="1">
      <alignment horizontal="left" vertical="center" wrapText="1"/>
    </xf>
    <xf numFmtId="0" fontId="51" fillId="32" borderId="7" xfId="0" applyFont="1" applyFill="1" applyBorder="1" applyAlignment="1">
      <alignment horizontal="left" vertical="center" wrapText="1"/>
    </xf>
    <xf numFmtId="0" fontId="51" fillId="32" borderId="6" xfId="0" applyFont="1" applyFill="1" applyBorder="1" applyAlignment="1">
      <alignment horizontal="left" vertical="center" wrapText="1"/>
    </xf>
    <xf numFmtId="3" fontId="51" fillId="32" borderId="4" xfId="0" applyNumberFormat="1" applyFont="1" applyFill="1" applyBorder="1" applyAlignment="1">
      <alignment horizontal="left" vertical="center" wrapText="1"/>
    </xf>
    <xf numFmtId="3" fontId="51" fillId="32" borderId="7" xfId="0" applyNumberFormat="1" applyFont="1" applyFill="1" applyBorder="1" applyAlignment="1">
      <alignment horizontal="left" vertical="center" wrapText="1"/>
    </xf>
    <xf numFmtId="3" fontId="51" fillId="32" borderId="6" xfId="0" applyNumberFormat="1" applyFont="1" applyFill="1" applyBorder="1" applyAlignment="1">
      <alignment horizontal="left" vertical="center" wrapText="1"/>
    </xf>
    <xf numFmtId="3" fontId="50" fillId="32" borderId="7" xfId="0" applyNumberFormat="1" applyFont="1" applyFill="1" applyBorder="1" applyAlignment="1">
      <alignment horizontal="left" vertical="center" wrapText="1"/>
    </xf>
    <xf numFmtId="3" fontId="50" fillId="32" borderId="6" xfId="0" applyNumberFormat="1" applyFont="1" applyFill="1" applyBorder="1" applyAlignment="1">
      <alignment horizontal="left" vertical="center" wrapText="1"/>
    </xf>
    <xf numFmtId="3" fontId="60" fillId="0" borderId="4" xfId="0" applyNumberFormat="1" applyFont="1" applyBorder="1" applyAlignment="1">
      <alignment horizontal="center" vertical="center" wrapText="1"/>
    </xf>
    <xf numFmtId="3" fontId="60" fillId="0" borderId="7" xfId="0" applyNumberFormat="1" applyFont="1" applyBorder="1" applyAlignment="1">
      <alignment horizontal="center" vertical="center" wrapText="1"/>
    </xf>
    <xf numFmtId="3" fontId="60" fillId="0" borderId="6" xfId="0" applyNumberFormat="1" applyFont="1" applyBorder="1" applyAlignment="1">
      <alignment horizontal="center" vertical="center" wrapText="1"/>
    </xf>
    <xf numFmtId="3" fontId="51" fillId="0" borderId="4" xfId="0" applyNumberFormat="1" applyFont="1" applyBorder="1" applyAlignment="1">
      <alignment horizontal="left" vertical="center" wrapText="1"/>
    </xf>
    <xf numFmtId="3" fontId="51" fillId="0" borderId="7" xfId="0" applyNumberFormat="1" applyFont="1" applyBorder="1" applyAlignment="1">
      <alignment horizontal="left" vertical="center" wrapText="1"/>
    </xf>
    <xf numFmtId="3" fontId="51" fillId="0" borderId="6" xfId="0" applyNumberFormat="1" applyFont="1" applyBorder="1" applyAlignment="1">
      <alignment horizontal="left" vertical="center" wrapText="1"/>
    </xf>
    <xf numFmtId="3" fontId="51" fillId="0" borderId="0" xfId="0" applyNumberFormat="1" applyFont="1" applyAlignment="1">
      <alignment horizontal="left" vertical="center" wrapText="1"/>
    </xf>
    <xf numFmtId="49" fontId="51" fillId="32" borderId="4" xfId="6" applyNumberFormat="1" applyFont="1" applyFill="1" applyBorder="1" applyAlignment="1">
      <alignment horizontal="left" vertical="center" wrapText="1"/>
    </xf>
    <xf numFmtId="49" fontId="51" fillId="32" borderId="7" xfId="6" applyNumberFormat="1" applyFont="1" applyFill="1" applyBorder="1" applyAlignment="1">
      <alignment horizontal="left" vertical="center" wrapText="1"/>
    </xf>
    <xf numFmtId="49" fontId="51" fillId="32" borderId="6" xfId="6" applyNumberFormat="1" applyFont="1" applyFill="1" applyBorder="1" applyAlignment="1">
      <alignment horizontal="left" vertical="center" wrapText="1"/>
    </xf>
    <xf numFmtId="3" fontId="36" fillId="32" borderId="4" xfId="0" applyNumberFormat="1" applyFont="1" applyFill="1" applyBorder="1" applyAlignment="1">
      <alignment vertical="center" wrapText="1"/>
    </xf>
    <xf numFmtId="3" fontId="36" fillId="32" borderId="7" xfId="0" applyNumberFormat="1" applyFont="1" applyFill="1" applyBorder="1" applyAlignment="1">
      <alignment vertical="center" wrapText="1"/>
    </xf>
    <xf numFmtId="3" fontId="36" fillId="32" borderId="6" xfId="0" applyNumberFormat="1" applyFont="1" applyFill="1" applyBorder="1" applyAlignment="1">
      <alignment vertical="center" wrapText="1"/>
    </xf>
    <xf numFmtId="3" fontId="60" fillId="32" borderId="7" xfId="0" applyNumberFormat="1" applyFont="1" applyFill="1" applyBorder="1" applyAlignment="1">
      <alignment horizontal="left" vertical="center" wrapText="1"/>
    </xf>
    <xf numFmtId="3" fontId="60" fillId="32" borderId="6" xfId="0" applyNumberFormat="1" applyFont="1" applyFill="1" applyBorder="1" applyAlignment="1">
      <alignment horizontal="left" vertical="center" wrapText="1"/>
    </xf>
    <xf numFmtId="3" fontId="51" fillId="32" borderId="1" xfId="0" applyNumberFormat="1" applyFont="1" applyFill="1" applyBorder="1" applyAlignment="1">
      <alignment horizontal="left" vertical="center" wrapText="1"/>
    </xf>
    <xf numFmtId="0" fontId="36" fillId="32" borderId="4" xfId="0" applyFont="1" applyFill="1" applyBorder="1" applyAlignment="1">
      <alignment horizontal="left" vertical="center" wrapText="1"/>
    </xf>
    <xf numFmtId="0" fontId="36" fillId="32" borderId="7" xfId="0" applyFont="1" applyFill="1" applyBorder="1" applyAlignment="1">
      <alignment horizontal="left" vertical="center" wrapText="1"/>
    </xf>
    <xf numFmtId="0" fontId="36" fillId="32" borderId="6" xfId="0" applyFont="1" applyFill="1" applyBorder="1" applyAlignment="1">
      <alignment horizontal="left" vertical="center" wrapText="1"/>
    </xf>
    <xf numFmtId="0" fontId="48" fillId="0" borderId="0" xfId="1467" applyFont="1" applyAlignment="1">
      <alignment horizontal="left" vertical="center" wrapText="1"/>
    </xf>
    <xf numFmtId="49" fontId="42" fillId="32" borderId="4" xfId="1467" applyNumberFormat="1" applyFont="1" applyFill="1" applyBorder="1" applyAlignment="1" applyProtection="1">
      <alignment horizontal="left" vertical="center" wrapText="1"/>
      <protection locked="0"/>
    </xf>
    <xf numFmtId="49" fontId="42" fillId="32" borderId="7" xfId="1467" applyNumberFormat="1" applyFont="1" applyFill="1" applyBorder="1" applyAlignment="1" applyProtection="1">
      <alignment horizontal="left" vertical="center" wrapText="1"/>
      <protection locked="0"/>
    </xf>
    <xf numFmtId="49" fontId="42" fillId="32" borderId="6" xfId="1467" applyNumberFormat="1" applyFont="1" applyFill="1" applyBorder="1" applyAlignment="1" applyProtection="1">
      <alignment horizontal="left" vertical="center" wrapText="1"/>
      <protection locked="0"/>
    </xf>
    <xf numFmtId="49" fontId="42" fillId="32" borderId="4" xfId="1" applyNumberFormat="1" applyFont="1" applyFill="1" applyBorder="1" applyAlignment="1">
      <alignment horizontal="left" vertical="center" wrapText="1"/>
    </xf>
    <xf numFmtId="49" fontId="42" fillId="32" borderId="7" xfId="1" applyNumberFormat="1" applyFont="1" applyFill="1" applyBorder="1" applyAlignment="1">
      <alignment horizontal="left" vertical="center" wrapText="1"/>
    </xf>
    <xf numFmtId="49" fontId="42" fillId="32" borderId="6" xfId="1" applyNumberFormat="1" applyFont="1" applyFill="1" applyBorder="1" applyAlignment="1">
      <alignment horizontal="left" vertical="center" wrapText="1"/>
    </xf>
    <xf numFmtId="0" fontId="43" fillId="3" borderId="5" xfId="1" applyFont="1" applyFill="1" applyBorder="1" applyAlignment="1" applyProtection="1">
      <alignment horizontal="center" vertical="center"/>
      <protection locked="0"/>
    </xf>
    <xf numFmtId="0" fontId="43" fillId="3" borderId="9" xfId="1" applyFont="1" applyFill="1" applyBorder="1" applyAlignment="1" applyProtection="1">
      <alignment horizontal="center" vertical="center"/>
      <protection locked="0"/>
    </xf>
    <xf numFmtId="49" fontId="42" fillId="0" borderId="4" xfId="1" applyNumberFormat="1" applyFont="1" applyBorder="1" applyAlignment="1">
      <alignment horizontal="center" vertical="center"/>
    </xf>
    <xf numFmtId="49" fontId="42" fillId="0" borderId="7" xfId="1" applyNumberFormat="1" applyFont="1" applyBorder="1" applyAlignment="1">
      <alignment horizontal="center" vertical="center"/>
    </xf>
    <xf numFmtId="49" fontId="42" fillId="0" borderId="6" xfId="1" applyNumberFormat="1" applyFont="1" applyBorder="1" applyAlignment="1">
      <alignment horizontal="center" vertical="center"/>
    </xf>
    <xf numFmtId="0" fontId="42" fillId="3" borderId="5" xfId="1" applyFont="1" applyFill="1" applyBorder="1" applyAlignment="1" applyProtection="1">
      <alignment horizontal="center" vertical="center"/>
      <protection locked="0"/>
    </xf>
    <xf numFmtId="0" fontId="42" fillId="3" borderId="9" xfId="1" applyFont="1" applyFill="1" applyBorder="1" applyAlignment="1" applyProtection="1">
      <alignment horizontal="center" vertical="center"/>
      <protection locked="0"/>
    </xf>
    <xf numFmtId="49" fontId="71" fillId="32" borderId="24" xfId="6" applyNumberFormat="1" applyFont="1" applyFill="1" applyBorder="1" applyAlignment="1">
      <alignment horizontal="left" vertical="center" wrapText="1"/>
    </xf>
    <xf numFmtId="49" fontId="71" fillId="32" borderId="8" xfId="6" applyNumberFormat="1" applyFont="1" applyFill="1" applyBorder="1" applyAlignment="1">
      <alignment horizontal="left" vertical="center" wrapText="1"/>
    </xf>
    <xf numFmtId="49" fontId="71" fillId="32" borderId="28" xfId="6" applyNumberFormat="1" applyFont="1" applyFill="1" applyBorder="1" applyAlignment="1">
      <alignment horizontal="left" vertical="center" wrapText="1"/>
    </xf>
    <xf numFmtId="16" fontId="83" fillId="3" borderId="9" xfId="6" applyNumberFormat="1" applyFont="1" applyFill="1" applyBorder="1" applyAlignment="1">
      <alignment horizontal="left" vertical="center" wrapText="1"/>
    </xf>
    <xf numFmtId="0" fontId="71" fillId="0" borderId="0" xfId="0" applyFont="1" applyAlignment="1">
      <alignment horizontal="left" vertical="center" wrapText="1"/>
    </xf>
    <xf numFmtId="0" fontId="71" fillId="32" borderId="1" xfId="6" applyFont="1" applyFill="1" applyBorder="1" applyAlignment="1">
      <alignment horizontal="left" vertical="center" wrapText="1"/>
    </xf>
    <xf numFmtId="49" fontId="74" fillId="0" borderId="4" xfId="6" applyNumberFormat="1" applyFont="1" applyBorder="1" applyAlignment="1">
      <alignment horizontal="center" vertical="center" wrapText="1"/>
    </xf>
    <xf numFmtId="49" fontId="74" fillId="0" borderId="7" xfId="6" applyNumberFormat="1" applyFont="1" applyBorder="1" applyAlignment="1">
      <alignment horizontal="center" vertical="center" wrapText="1"/>
    </xf>
    <xf numFmtId="49" fontId="74" fillId="0" borderId="6" xfId="6" applyNumberFormat="1" applyFont="1" applyBorder="1" applyAlignment="1">
      <alignment horizontal="center" vertical="center" wrapText="1"/>
    </xf>
    <xf numFmtId="49" fontId="74" fillId="0" borderId="4" xfId="6" applyNumberFormat="1" applyFont="1" applyBorder="1" applyAlignment="1">
      <alignment horizontal="center" vertical="center"/>
    </xf>
    <xf numFmtId="49" fontId="74" fillId="0" borderId="7" xfId="6" applyNumberFormat="1" applyFont="1" applyBorder="1" applyAlignment="1">
      <alignment horizontal="center" vertical="center"/>
    </xf>
    <xf numFmtId="49" fontId="74" fillId="0" borderId="6" xfId="6" applyNumberFormat="1" applyFont="1" applyBorder="1" applyAlignment="1">
      <alignment horizontal="center" vertical="center"/>
    </xf>
    <xf numFmtId="49" fontId="71" fillId="0" borderId="4" xfId="6" applyNumberFormat="1" applyFont="1" applyBorder="1" applyAlignment="1">
      <alignment vertical="center" wrapText="1"/>
    </xf>
    <xf numFmtId="49" fontId="71" fillId="0" borderId="7" xfId="6" applyNumberFormat="1" applyFont="1" applyBorder="1" applyAlignment="1">
      <alignment vertical="center" wrapText="1"/>
    </xf>
    <xf numFmtId="49" fontId="71" fillId="0" borderId="6" xfId="6" applyNumberFormat="1" applyFont="1" applyBorder="1" applyAlignment="1">
      <alignment vertical="center" wrapText="1"/>
    </xf>
    <xf numFmtId="49" fontId="71" fillId="32" borderId="4" xfId="6" applyNumberFormat="1" applyFont="1" applyFill="1" applyBorder="1" applyAlignment="1">
      <alignment horizontal="left" vertical="center" wrapText="1"/>
    </xf>
    <xf numFmtId="49" fontId="71" fillId="32" borderId="7" xfId="6" applyNumberFormat="1" applyFont="1" applyFill="1" applyBorder="1" applyAlignment="1">
      <alignment horizontal="left" vertical="center" wrapText="1"/>
    </xf>
    <xf numFmtId="49" fontId="71" fillId="32" borderId="6" xfId="6" applyNumberFormat="1" applyFont="1" applyFill="1" applyBorder="1" applyAlignment="1">
      <alignment horizontal="left" vertical="center" wrapText="1"/>
    </xf>
    <xf numFmtId="3" fontId="71" fillId="32" borderId="4" xfId="0" applyNumberFormat="1" applyFont="1" applyFill="1" applyBorder="1" applyAlignment="1">
      <alignment horizontal="left" vertical="center" wrapText="1"/>
    </xf>
    <xf numFmtId="3" fontId="75" fillId="32" borderId="7" xfId="0" applyNumberFormat="1" applyFont="1" applyFill="1" applyBorder="1" applyAlignment="1">
      <alignment horizontal="left" vertical="center" wrapText="1"/>
    </xf>
    <xf numFmtId="3" fontId="75" fillId="32" borderId="6" xfId="0" applyNumberFormat="1" applyFont="1" applyFill="1" applyBorder="1" applyAlignment="1">
      <alignment horizontal="left" vertical="center" wrapText="1"/>
    </xf>
    <xf numFmtId="49" fontId="71" fillId="32" borderId="4" xfId="0" applyNumberFormat="1" applyFont="1" applyFill="1" applyBorder="1" applyAlignment="1">
      <alignment horizontal="left" vertical="center" wrapText="1"/>
    </xf>
    <xf numFmtId="49" fontId="74" fillId="32" borderId="7" xfId="0" applyNumberFormat="1" applyFont="1" applyFill="1" applyBorder="1" applyAlignment="1">
      <alignment horizontal="left" vertical="center" wrapText="1"/>
    </xf>
    <xf numFmtId="49" fontId="74" fillId="32" borderId="6" xfId="0" applyNumberFormat="1" applyFont="1" applyFill="1" applyBorder="1" applyAlignment="1">
      <alignment horizontal="left" vertical="center" wrapText="1"/>
    </xf>
    <xf numFmtId="0" fontId="71" fillId="32" borderId="4" xfId="0" applyFont="1" applyFill="1" applyBorder="1" applyAlignment="1">
      <alignment horizontal="left" vertical="center" wrapText="1"/>
    </xf>
    <xf numFmtId="0" fontId="71" fillId="32" borderId="7" xfId="0" applyFont="1" applyFill="1" applyBorder="1" applyAlignment="1">
      <alignment horizontal="left" vertical="center" wrapText="1"/>
    </xf>
    <xf numFmtId="0" fontId="71" fillId="32" borderId="6" xfId="0" applyFont="1" applyFill="1" applyBorder="1" applyAlignment="1">
      <alignment horizontal="left" vertical="center" wrapText="1"/>
    </xf>
    <xf numFmtId="49" fontId="71" fillId="0" borderId="4" xfId="6" applyNumberFormat="1" applyFont="1" applyBorder="1" applyAlignment="1">
      <alignment horizontal="left" vertical="center" wrapText="1"/>
    </xf>
    <xf numFmtId="49" fontId="71" fillId="0" borderId="7" xfId="6" applyNumberFormat="1" applyFont="1" applyBorder="1" applyAlignment="1">
      <alignment horizontal="left" vertical="center" wrapText="1"/>
    </xf>
    <xf numFmtId="49" fontId="71" fillId="0" borderId="6" xfId="6" applyNumberFormat="1" applyFont="1" applyBorder="1" applyAlignment="1">
      <alignment horizontal="left" vertical="center" wrapText="1"/>
    </xf>
    <xf numFmtId="0" fontId="36" fillId="32" borderId="24" xfId="0" applyFont="1" applyFill="1" applyBorder="1" applyAlignment="1">
      <alignment horizontal="left" vertical="center" wrapText="1"/>
    </xf>
    <xf numFmtId="0" fontId="36" fillId="32" borderId="8" xfId="0" applyFont="1" applyFill="1" applyBorder="1" applyAlignment="1">
      <alignment horizontal="left" vertical="center" wrapText="1"/>
    </xf>
    <xf numFmtId="0" fontId="71" fillId="32" borderId="7" xfId="6" applyFont="1" applyFill="1" applyBorder="1" applyAlignment="1">
      <alignment horizontal="left" vertical="center" wrapText="1"/>
    </xf>
    <xf numFmtId="0" fontId="36" fillId="32" borderId="28" xfId="0" applyFont="1" applyFill="1" applyBorder="1" applyAlignment="1">
      <alignment horizontal="left" vertical="center" wrapText="1"/>
    </xf>
    <xf numFmtId="0" fontId="42" fillId="0" borderId="0" xfId="0" applyFont="1" applyAlignment="1">
      <alignment horizontal="left" vertical="center" wrapText="1"/>
    </xf>
    <xf numFmtId="0" fontId="36" fillId="32" borderId="24" xfId="0" applyFont="1" applyFill="1" applyBorder="1" applyAlignment="1">
      <alignment horizontal="center" vertical="top" wrapText="1"/>
    </xf>
    <xf numFmtId="0" fontId="36" fillId="32" borderId="8" xfId="0" applyFont="1" applyFill="1" applyBorder="1" applyAlignment="1">
      <alignment horizontal="center" vertical="top" wrapText="1"/>
    </xf>
    <xf numFmtId="0" fontId="36" fillId="32" borderId="28" xfId="0" applyFont="1" applyFill="1" applyBorder="1" applyAlignment="1">
      <alignment horizontal="center" vertical="top"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3" fontId="36" fillId="0" borderId="1" xfId="0" applyNumberFormat="1" applyFont="1" applyBorder="1" applyAlignment="1">
      <alignment horizontal="center" vertical="center" wrapText="1"/>
    </xf>
    <xf numFmtId="0" fontId="68" fillId="0" borderId="1" xfId="0" applyFont="1" applyBorder="1" applyAlignment="1">
      <alignment horizontal="center" vertical="center" wrapText="1"/>
    </xf>
    <xf numFmtId="0" fontId="36" fillId="32" borderId="4" xfId="0" applyFont="1" applyFill="1" applyBorder="1" applyAlignment="1">
      <alignment vertical="top" wrapText="1"/>
    </xf>
    <xf numFmtId="0" fontId="36" fillId="32" borderId="7" xfId="0" applyFont="1" applyFill="1" applyBorder="1" applyAlignment="1">
      <alignment vertical="top" wrapText="1"/>
    </xf>
    <xf numFmtId="0" fontId="36" fillId="32" borderId="6" xfId="0" applyFont="1" applyFill="1" applyBorder="1" applyAlignment="1">
      <alignment vertical="top" wrapText="1"/>
    </xf>
    <xf numFmtId="0" fontId="36" fillId="32" borderId="4" xfId="0" applyFont="1" applyFill="1" applyBorder="1" applyAlignment="1">
      <alignment horizontal="left" vertical="top" wrapText="1"/>
    </xf>
    <xf numFmtId="0" fontId="36" fillId="32" borderId="7" xfId="0" applyFont="1" applyFill="1" applyBorder="1" applyAlignment="1">
      <alignment horizontal="left" vertical="top" wrapText="1"/>
    </xf>
    <xf numFmtId="0" fontId="36" fillId="32" borderId="6"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8" xfId="0" applyFont="1" applyFill="1" applyBorder="1" applyAlignment="1">
      <alignment horizontal="left" vertical="top" wrapText="1"/>
    </xf>
    <xf numFmtId="0" fontId="36" fillId="32" borderId="28" xfId="0" applyFont="1" applyFill="1" applyBorder="1" applyAlignment="1">
      <alignment horizontal="left" vertical="top" wrapText="1"/>
    </xf>
  </cellXfs>
  <cellStyles count="1490">
    <cellStyle name="_ieguld.plāns" xfId="13" xr:uid="{00000000-0005-0000-0000-000000000000}"/>
    <cellStyle name="20% - Accent1 10" xfId="14" xr:uid="{00000000-0005-0000-0000-000001000000}"/>
    <cellStyle name="20% - Accent1 10 2" xfId="15" xr:uid="{00000000-0005-0000-0000-000002000000}"/>
    <cellStyle name="20% - Accent1 10 2 2" xfId="16" xr:uid="{00000000-0005-0000-0000-000003000000}"/>
    <cellStyle name="20% - Accent1 10 3" xfId="17" xr:uid="{00000000-0005-0000-0000-000004000000}"/>
    <cellStyle name="20% - Accent1 11" xfId="18" xr:uid="{00000000-0005-0000-0000-000005000000}"/>
    <cellStyle name="20% - Accent1 11 2" xfId="19" xr:uid="{00000000-0005-0000-0000-000006000000}"/>
    <cellStyle name="20% - Accent1 11 2 2" xfId="20" xr:uid="{00000000-0005-0000-0000-000007000000}"/>
    <cellStyle name="20% - Accent1 11 3" xfId="21" xr:uid="{00000000-0005-0000-0000-000008000000}"/>
    <cellStyle name="20% - Accent1 12" xfId="22" xr:uid="{00000000-0005-0000-0000-000009000000}"/>
    <cellStyle name="20% - Accent1 12 2" xfId="23" xr:uid="{00000000-0005-0000-0000-00000A000000}"/>
    <cellStyle name="20% - Accent1 12 2 2" xfId="24" xr:uid="{00000000-0005-0000-0000-00000B000000}"/>
    <cellStyle name="20% - Accent1 12 3" xfId="25" xr:uid="{00000000-0005-0000-0000-00000C000000}"/>
    <cellStyle name="20% - Accent1 13" xfId="26" xr:uid="{00000000-0005-0000-0000-00000D000000}"/>
    <cellStyle name="20% - Accent1 13 2" xfId="27" xr:uid="{00000000-0005-0000-0000-00000E000000}"/>
    <cellStyle name="20% - Accent1 13 2 2" xfId="28" xr:uid="{00000000-0005-0000-0000-00000F000000}"/>
    <cellStyle name="20% - Accent1 13 3" xfId="29" xr:uid="{00000000-0005-0000-0000-000010000000}"/>
    <cellStyle name="20% - Accent1 14" xfId="30" xr:uid="{00000000-0005-0000-0000-000011000000}"/>
    <cellStyle name="20% - Accent1 14 2" xfId="31" xr:uid="{00000000-0005-0000-0000-000012000000}"/>
    <cellStyle name="20% - Accent1 14 2 2" xfId="32" xr:uid="{00000000-0005-0000-0000-000013000000}"/>
    <cellStyle name="20% - Accent1 14 3" xfId="33" xr:uid="{00000000-0005-0000-0000-000014000000}"/>
    <cellStyle name="20% - Accent1 15" xfId="34" xr:uid="{00000000-0005-0000-0000-000015000000}"/>
    <cellStyle name="20% - Accent1 15 2" xfId="35" xr:uid="{00000000-0005-0000-0000-000016000000}"/>
    <cellStyle name="20% - Accent1 15 2 2" xfId="36" xr:uid="{00000000-0005-0000-0000-000017000000}"/>
    <cellStyle name="20% - Accent1 15 3" xfId="37" xr:uid="{00000000-0005-0000-0000-000018000000}"/>
    <cellStyle name="20% - Accent1 16" xfId="38" xr:uid="{00000000-0005-0000-0000-000019000000}"/>
    <cellStyle name="20% - Accent1 2" xfId="39" xr:uid="{00000000-0005-0000-0000-00001A000000}"/>
    <cellStyle name="20% - Accent1 2 2" xfId="40" xr:uid="{00000000-0005-0000-0000-00001B000000}"/>
    <cellStyle name="20% - Accent1 2 2 2" xfId="41" xr:uid="{00000000-0005-0000-0000-00001C000000}"/>
    <cellStyle name="20% - Accent1 2 3" xfId="42" xr:uid="{00000000-0005-0000-0000-00001D000000}"/>
    <cellStyle name="20% - Accent1 3" xfId="43" xr:uid="{00000000-0005-0000-0000-00001E000000}"/>
    <cellStyle name="20% - Accent1 3 2" xfId="44" xr:uid="{00000000-0005-0000-0000-00001F000000}"/>
    <cellStyle name="20% - Accent1 3 2 2" xfId="45" xr:uid="{00000000-0005-0000-0000-000020000000}"/>
    <cellStyle name="20% - Accent1 3 3" xfId="46" xr:uid="{00000000-0005-0000-0000-000021000000}"/>
    <cellStyle name="20% - Accent1 4" xfId="47" xr:uid="{00000000-0005-0000-0000-000022000000}"/>
    <cellStyle name="20% - Accent1 4 2" xfId="48" xr:uid="{00000000-0005-0000-0000-000023000000}"/>
    <cellStyle name="20% - Accent1 4 2 2" xfId="49" xr:uid="{00000000-0005-0000-0000-000024000000}"/>
    <cellStyle name="20% - Accent1 4 3" xfId="50" xr:uid="{00000000-0005-0000-0000-000025000000}"/>
    <cellStyle name="20% - Accent1 5" xfId="51" xr:uid="{00000000-0005-0000-0000-000026000000}"/>
    <cellStyle name="20% - Accent1 5 2" xfId="52" xr:uid="{00000000-0005-0000-0000-000027000000}"/>
    <cellStyle name="20% - Accent1 5 2 2" xfId="53" xr:uid="{00000000-0005-0000-0000-000028000000}"/>
    <cellStyle name="20% - Accent1 5 3" xfId="54" xr:uid="{00000000-0005-0000-0000-000029000000}"/>
    <cellStyle name="20% - Accent1 6" xfId="55" xr:uid="{00000000-0005-0000-0000-00002A000000}"/>
    <cellStyle name="20% - Accent1 6 2" xfId="56" xr:uid="{00000000-0005-0000-0000-00002B000000}"/>
    <cellStyle name="20% - Accent1 6 2 2" xfId="57" xr:uid="{00000000-0005-0000-0000-00002C000000}"/>
    <cellStyle name="20% - Accent1 6 3" xfId="58" xr:uid="{00000000-0005-0000-0000-00002D000000}"/>
    <cellStyle name="20% - Accent1 7" xfId="59" xr:uid="{00000000-0005-0000-0000-00002E000000}"/>
    <cellStyle name="20% - Accent1 7 2" xfId="60" xr:uid="{00000000-0005-0000-0000-00002F000000}"/>
    <cellStyle name="20% - Accent1 7 2 2" xfId="61" xr:uid="{00000000-0005-0000-0000-000030000000}"/>
    <cellStyle name="20% - Accent1 7 3" xfId="62" xr:uid="{00000000-0005-0000-0000-000031000000}"/>
    <cellStyle name="20% - Accent1 8" xfId="63" xr:uid="{00000000-0005-0000-0000-000032000000}"/>
    <cellStyle name="20% - Accent1 8 2" xfId="64" xr:uid="{00000000-0005-0000-0000-000033000000}"/>
    <cellStyle name="20% - Accent1 8 2 2" xfId="65" xr:uid="{00000000-0005-0000-0000-000034000000}"/>
    <cellStyle name="20% - Accent1 8 3" xfId="66" xr:uid="{00000000-0005-0000-0000-000035000000}"/>
    <cellStyle name="20% - Accent1 9" xfId="67" xr:uid="{00000000-0005-0000-0000-000036000000}"/>
    <cellStyle name="20% - Accent1 9 2" xfId="68" xr:uid="{00000000-0005-0000-0000-000037000000}"/>
    <cellStyle name="20% - Accent1 9 2 2" xfId="69" xr:uid="{00000000-0005-0000-0000-000038000000}"/>
    <cellStyle name="20% - Accent1 9 3" xfId="70" xr:uid="{00000000-0005-0000-0000-000039000000}"/>
    <cellStyle name="20% - Accent2 10" xfId="71" xr:uid="{00000000-0005-0000-0000-00003A000000}"/>
    <cellStyle name="20% - Accent2 10 2" xfId="72" xr:uid="{00000000-0005-0000-0000-00003B000000}"/>
    <cellStyle name="20% - Accent2 10 2 2" xfId="73" xr:uid="{00000000-0005-0000-0000-00003C000000}"/>
    <cellStyle name="20% - Accent2 10 3" xfId="74" xr:uid="{00000000-0005-0000-0000-00003D000000}"/>
    <cellStyle name="20% - Accent2 11" xfId="75" xr:uid="{00000000-0005-0000-0000-00003E000000}"/>
    <cellStyle name="20% - Accent2 11 2" xfId="76" xr:uid="{00000000-0005-0000-0000-00003F000000}"/>
    <cellStyle name="20% - Accent2 11 2 2" xfId="77" xr:uid="{00000000-0005-0000-0000-000040000000}"/>
    <cellStyle name="20% - Accent2 11 3" xfId="78" xr:uid="{00000000-0005-0000-0000-000041000000}"/>
    <cellStyle name="20% - Accent2 12" xfId="79" xr:uid="{00000000-0005-0000-0000-000042000000}"/>
    <cellStyle name="20% - Accent2 12 2" xfId="80" xr:uid="{00000000-0005-0000-0000-000043000000}"/>
    <cellStyle name="20% - Accent2 12 2 2" xfId="81" xr:uid="{00000000-0005-0000-0000-000044000000}"/>
    <cellStyle name="20% - Accent2 12 3" xfId="82" xr:uid="{00000000-0005-0000-0000-000045000000}"/>
    <cellStyle name="20% - Accent2 13" xfId="83" xr:uid="{00000000-0005-0000-0000-000046000000}"/>
    <cellStyle name="20% - Accent2 13 2" xfId="84" xr:uid="{00000000-0005-0000-0000-000047000000}"/>
    <cellStyle name="20% - Accent2 13 2 2" xfId="85" xr:uid="{00000000-0005-0000-0000-000048000000}"/>
    <cellStyle name="20% - Accent2 13 3" xfId="86" xr:uid="{00000000-0005-0000-0000-000049000000}"/>
    <cellStyle name="20% - Accent2 14" xfId="87" xr:uid="{00000000-0005-0000-0000-00004A000000}"/>
    <cellStyle name="20% - Accent2 14 2" xfId="88" xr:uid="{00000000-0005-0000-0000-00004B000000}"/>
    <cellStyle name="20% - Accent2 14 2 2" xfId="89" xr:uid="{00000000-0005-0000-0000-00004C000000}"/>
    <cellStyle name="20% - Accent2 14 3" xfId="90" xr:uid="{00000000-0005-0000-0000-00004D000000}"/>
    <cellStyle name="20% - Accent2 15" xfId="91" xr:uid="{00000000-0005-0000-0000-00004E000000}"/>
    <cellStyle name="20% - Accent2 15 2" xfId="92" xr:uid="{00000000-0005-0000-0000-00004F000000}"/>
    <cellStyle name="20% - Accent2 15 2 2" xfId="93" xr:uid="{00000000-0005-0000-0000-000050000000}"/>
    <cellStyle name="20% - Accent2 15 3" xfId="94" xr:uid="{00000000-0005-0000-0000-000051000000}"/>
    <cellStyle name="20% - Accent2 16" xfId="95" xr:uid="{00000000-0005-0000-0000-000052000000}"/>
    <cellStyle name="20% - Accent2 2" xfId="96" xr:uid="{00000000-0005-0000-0000-000053000000}"/>
    <cellStyle name="20% - Accent2 2 2" xfId="97" xr:uid="{00000000-0005-0000-0000-000054000000}"/>
    <cellStyle name="20% - Accent2 2 2 2" xfId="98" xr:uid="{00000000-0005-0000-0000-000055000000}"/>
    <cellStyle name="20% - Accent2 2 3" xfId="99" xr:uid="{00000000-0005-0000-0000-000056000000}"/>
    <cellStyle name="20% - Accent2 3" xfId="100" xr:uid="{00000000-0005-0000-0000-000057000000}"/>
    <cellStyle name="20% - Accent2 3 2" xfId="101" xr:uid="{00000000-0005-0000-0000-000058000000}"/>
    <cellStyle name="20% - Accent2 3 2 2" xfId="102" xr:uid="{00000000-0005-0000-0000-000059000000}"/>
    <cellStyle name="20% - Accent2 3 3" xfId="103" xr:uid="{00000000-0005-0000-0000-00005A000000}"/>
    <cellStyle name="20% - Accent2 4" xfId="104" xr:uid="{00000000-0005-0000-0000-00005B000000}"/>
    <cellStyle name="20% - Accent2 4 2" xfId="105" xr:uid="{00000000-0005-0000-0000-00005C000000}"/>
    <cellStyle name="20% - Accent2 4 2 2" xfId="106" xr:uid="{00000000-0005-0000-0000-00005D000000}"/>
    <cellStyle name="20% - Accent2 4 3" xfId="107" xr:uid="{00000000-0005-0000-0000-00005E000000}"/>
    <cellStyle name="20% - Accent2 5" xfId="108" xr:uid="{00000000-0005-0000-0000-00005F000000}"/>
    <cellStyle name="20% - Accent2 5 2" xfId="109" xr:uid="{00000000-0005-0000-0000-000060000000}"/>
    <cellStyle name="20% - Accent2 5 2 2" xfId="110" xr:uid="{00000000-0005-0000-0000-000061000000}"/>
    <cellStyle name="20% - Accent2 5 3" xfId="111" xr:uid="{00000000-0005-0000-0000-000062000000}"/>
    <cellStyle name="20% - Accent2 6" xfId="112" xr:uid="{00000000-0005-0000-0000-000063000000}"/>
    <cellStyle name="20% - Accent2 6 2" xfId="113" xr:uid="{00000000-0005-0000-0000-000064000000}"/>
    <cellStyle name="20% - Accent2 6 2 2" xfId="114" xr:uid="{00000000-0005-0000-0000-000065000000}"/>
    <cellStyle name="20% - Accent2 6 3" xfId="115" xr:uid="{00000000-0005-0000-0000-000066000000}"/>
    <cellStyle name="20% - Accent2 7" xfId="116" xr:uid="{00000000-0005-0000-0000-000067000000}"/>
    <cellStyle name="20% - Accent2 7 2" xfId="117" xr:uid="{00000000-0005-0000-0000-000068000000}"/>
    <cellStyle name="20% - Accent2 7 2 2" xfId="118" xr:uid="{00000000-0005-0000-0000-000069000000}"/>
    <cellStyle name="20% - Accent2 7 3" xfId="119" xr:uid="{00000000-0005-0000-0000-00006A000000}"/>
    <cellStyle name="20% - Accent2 8" xfId="120" xr:uid="{00000000-0005-0000-0000-00006B000000}"/>
    <cellStyle name="20% - Accent2 8 2" xfId="121" xr:uid="{00000000-0005-0000-0000-00006C000000}"/>
    <cellStyle name="20% - Accent2 8 2 2" xfId="122" xr:uid="{00000000-0005-0000-0000-00006D000000}"/>
    <cellStyle name="20% - Accent2 8 3" xfId="123" xr:uid="{00000000-0005-0000-0000-00006E000000}"/>
    <cellStyle name="20% - Accent2 9" xfId="124" xr:uid="{00000000-0005-0000-0000-00006F000000}"/>
    <cellStyle name="20% - Accent2 9 2" xfId="125" xr:uid="{00000000-0005-0000-0000-000070000000}"/>
    <cellStyle name="20% - Accent2 9 2 2" xfId="126" xr:uid="{00000000-0005-0000-0000-000071000000}"/>
    <cellStyle name="20% - Accent2 9 3" xfId="127" xr:uid="{00000000-0005-0000-0000-000072000000}"/>
    <cellStyle name="20% - Accent3 10" xfId="128" xr:uid="{00000000-0005-0000-0000-000073000000}"/>
    <cellStyle name="20% - Accent3 10 2" xfId="129" xr:uid="{00000000-0005-0000-0000-000074000000}"/>
    <cellStyle name="20% - Accent3 10 2 2" xfId="130" xr:uid="{00000000-0005-0000-0000-000075000000}"/>
    <cellStyle name="20% - Accent3 10 3" xfId="131" xr:uid="{00000000-0005-0000-0000-000076000000}"/>
    <cellStyle name="20% - Accent3 11" xfId="132" xr:uid="{00000000-0005-0000-0000-000077000000}"/>
    <cellStyle name="20% - Accent3 11 2" xfId="133" xr:uid="{00000000-0005-0000-0000-000078000000}"/>
    <cellStyle name="20% - Accent3 11 2 2" xfId="134" xr:uid="{00000000-0005-0000-0000-000079000000}"/>
    <cellStyle name="20% - Accent3 11 3" xfId="135" xr:uid="{00000000-0005-0000-0000-00007A000000}"/>
    <cellStyle name="20% - Accent3 12" xfId="136" xr:uid="{00000000-0005-0000-0000-00007B000000}"/>
    <cellStyle name="20% - Accent3 12 2" xfId="137" xr:uid="{00000000-0005-0000-0000-00007C000000}"/>
    <cellStyle name="20% - Accent3 12 2 2" xfId="138" xr:uid="{00000000-0005-0000-0000-00007D000000}"/>
    <cellStyle name="20% - Accent3 12 3" xfId="139" xr:uid="{00000000-0005-0000-0000-00007E000000}"/>
    <cellStyle name="20% - Accent3 13" xfId="140" xr:uid="{00000000-0005-0000-0000-00007F000000}"/>
    <cellStyle name="20% - Accent3 13 2" xfId="141" xr:uid="{00000000-0005-0000-0000-000080000000}"/>
    <cellStyle name="20% - Accent3 13 2 2" xfId="142" xr:uid="{00000000-0005-0000-0000-000081000000}"/>
    <cellStyle name="20% - Accent3 13 3" xfId="143" xr:uid="{00000000-0005-0000-0000-000082000000}"/>
    <cellStyle name="20% - Accent3 14" xfId="144" xr:uid="{00000000-0005-0000-0000-000083000000}"/>
    <cellStyle name="20% - Accent3 14 2" xfId="145" xr:uid="{00000000-0005-0000-0000-000084000000}"/>
    <cellStyle name="20% - Accent3 14 2 2" xfId="146" xr:uid="{00000000-0005-0000-0000-000085000000}"/>
    <cellStyle name="20% - Accent3 14 3" xfId="147" xr:uid="{00000000-0005-0000-0000-000086000000}"/>
    <cellStyle name="20% - Accent3 15" xfId="148" xr:uid="{00000000-0005-0000-0000-000087000000}"/>
    <cellStyle name="20% - Accent3 15 2" xfId="149" xr:uid="{00000000-0005-0000-0000-000088000000}"/>
    <cellStyle name="20% - Accent3 15 2 2" xfId="150" xr:uid="{00000000-0005-0000-0000-000089000000}"/>
    <cellStyle name="20% - Accent3 15 3" xfId="151" xr:uid="{00000000-0005-0000-0000-00008A000000}"/>
    <cellStyle name="20% - Accent3 16" xfId="152" xr:uid="{00000000-0005-0000-0000-00008B000000}"/>
    <cellStyle name="20% - Accent3 2" xfId="153" xr:uid="{00000000-0005-0000-0000-00008C000000}"/>
    <cellStyle name="20% - Accent3 2 2" xfId="154" xr:uid="{00000000-0005-0000-0000-00008D000000}"/>
    <cellStyle name="20% - Accent3 2 2 2" xfId="155" xr:uid="{00000000-0005-0000-0000-00008E000000}"/>
    <cellStyle name="20% - Accent3 2 3" xfId="156" xr:uid="{00000000-0005-0000-0000-00008F000000}"/>
    <cellStyle name="20% - Accent3 3" xfId="157" xr:uid="{00000000-0005-0000-0000-000090000000}"/>
    <cellStyle name="20% - Accent3 3 2" xfId="158" xr:uid="{00000000-0005-0000-0000-000091000000}"/>
    <cellStyle name="20% - Accent3 3 2 2" xfId="159" xr:uid="{00000000-0005-0000-0000-000092000000}"/>
    <cellStyle name="20% - Accent3 3 3" xfId="160" xr:uid="{00000000-0005-0000-0000-000093000000}"/>
    <cellStyle name="20% - Accent3 4" xfId="161" xr:uid="{00000000-0005-0000-0000-000094000000}"/>
    <cellStyle name="20% - Accent3 4 2" xfId="162" xr:uid="{00000000-0005-0000-0000-000095000000}"/>
    <cellStyle name="20% - Accent3 4 2 2" xfId="163" xr:uid="{00000000-0005-0000-0000-000096000000}"/>
    <cellStyle name="20% - Accent3 4 3" xfId="164" xr:uid="{00000000-0005-0000-0000-000097000000}"/>
    <cellStyle name="20% - Accent3 5" xfId="165" xr:uid="{00000000-0005-0000-0000-000098000000}"/>
    <cellStyle name="20% - Accent3 5 2" xfId="166" xr:uid="{00000000-0005-0000-0000-000099000000}"/>
    <cellStyle name="20% - Accent3 5 2 2" xfId="167" xr:uid="{00000000-0005-0000-0000-00009A000000}"/>
    <cellStyle name="20% - Accent3 5 3" xfId="168" xr:uid="{00000000-0005-0000-0000-00009B000000}"/>
    <cellStyle name="20% - Accent3 6" xfId="169" xr:uid="{00000000-0005-0000-0000-00009C000000}"/>
    <cellStyle name="20% - Accent3 6 2" xfId="170" xr:uid="{00000000-0005-0000-0000-00009D000000}"/>
    <cellStyle name="20% - Accent3 6 2 2" xfId="171" xr:uid="{00000000-0005-0000-0000-00009E000000}"/>
    <cellStyle name="20% - Accent3 6 3" xfId="172" xr:uid="{00000000-0005-0000-0000-00009F000000}"/>
    <cellStyle name="20% - Accent3 7" xfId="173" xr:uid="{00000000-0005-0000-0000-0000A0000000}"/>
    <cellStyle name="20% - Accent3 7 2" xfId="174" xr:uid="{00000000-0005-0000-0000-0000A1000000}"/>
    <cellStyle name="20% - Accent3 7 2 2" xfId="175" xr:uid="{00000000-0005-0000-0000-0000A2000000}"/>
    <cellStyle name="20% - Accent3 7 3" xfId="176" xr:uid="{00000000-0005-0000-0000-0000A3000000}"/>
    <cellStyle name="20% - Accent3 8" xfId="177" xr:uid="{00000000-0005-0000-0000-0000A4000000}"/>
    <cellStyle name="20% - Accent3 8 2" xfId="178" xr:uid="{00000000-0005-0000-0000-0000A5000000}"/>
    <cellStyle name="20% - Accent3 8 2 2" xfId="179" xr:uid="{00000000-0005-0000-0000-0000A6000000}"/>
    <cellStyle name="20% - Accent3 8 3" xfId="180" xr:uid="{00000000-0005-0000-0000-0000A7000000}"/>
    <cellStyle name="20% - Accent3 9" xfId="181" xr:uid="{00000000-0005-0000-0000-0000A8000000}"/>
    <cellStyle name="20% - Accent3 9 2" xfId="182" xr:uid="{00000000-0005-0000-0000-0000A9000000}"/>
    <cellStyle name="20% - Accent3 9 2 2" xfId="183" xr:uid="{00000000-0005-0000-0000-0000AA000000}"/>
    <cellStyle name="20% - Accent3 9 3" xfId="184" xr:uid="{00000000-0005-0000-0000-0000AB000000}"/>
    <cellStyle name="20% - Accent4 10" xfId="185" xr:uid="{00000000-0005-0000-0000-0000AC000000}"/>
    <cellStyle name="20% - Accent4 10 2" xfId="186" xr:uid="{00000000-0005-0000-0000-0000AD000000}"/>
    <cellStyle name="20% - Accent4 10 2 2" xfId="187" xr:uid="{00000000-0005-0000-0000-0000AE000000}"/>
    <cellStyle name="20% - Accent4 10 3" xfId="188" xr:uid="{00000000-0005-0000-0000-0000AF000000}"/>
    <cellStyle name="20% - Accent4 11" xfId="189" xr:uid="{00000000-0005-0000-0000-0000B0000000}"/>
    <cellStyle name="20% - Accent4 11 2" xfId="190" xr:uid="{00000000-0005-0000-0000-0000B1000000}"/>
    <cellStyle name="20% - Accent4 11 2 2" xfId="191" xr:uid="{00000000-0005-0000-0000-0000B2000000}"/>
    <cellStyle name="20% - Accent4 11 3" xfId="192" xr:uid="{00000000-0005-0000-0000-0000B3000000}"/>
    <cellStyle name="20% - Accent4 12" xfId="193" xr:uid="{00000000-0005-0000-0000-0000B4000000}"/>
    <cellStyle name="20% - Accent4 12 2" xfId="194" xr:uid="{00000000-0005-0000-0000-0000B5000000}"/>
    <cellStyle name="20% - Accent4 12 2 2" xfId="195" xr:uid="{00000000-0005-0000-0000-0000B6000000}"/>
    <cellStyle name="20% - Accent4 12 3" xfId="196" xr:uid="{00000000-0005-0000-0000-0000B7000000}"/>
    <cellStyle name="20% - Accent4 13" xfId="197" xr:uid="{00000000-0005-0000-0000-0000B8000000}"/>
    <cellStyle name="20% - Accent4 13 2" xfId="198" xr:uid="{00000000-0005-0000-0000-0000B9000000}"/>
    <cellStyle name="20% - Accent4 13 2 2" xfId="199" xr:uid="{00000000-0005-0000-0000-0000BA000000}"/>
    <cellStyle name="20% - Accent4 13 3" xfId="200" xr:uid="{00000000-0005-0000-0000-0000BB000000}"/>
    <cellStyle name="20% - Accent4 14" xfId="201" xr:uid="{00000000-0005-0000-0000-0000BC000000}"/>
    <cellStyle name="20% - Accent4 14 2" xfId="202" xr:uid="{00000000-0005-0000-0000-0000BD000000}"/>
    <cellStyle name="20% - Accent4 14 2 2" xfId="203" xr:uid="{00000000-0005-0000-0000-0000BE000000}"/>
    <cellStyle name="20% - Accent4 14 3" xfId="204" xr:uid="{00000000-0005-0000-0000-0000BF000000}"/>
    <cellStyle name="20% - Accent4 15" xfId="205" xr:uid="{00000000-0005-0000-0000-0000C0000000}"/>
    <cellStyle name="20% - Accent4 15 2" xfId="206" xr:uid="{00000000-0005-0000-0000-0000C1000000}"/>
    <cellStyle name="20% - Accent4 15 2 2" xfId="207" xr:uid="{00000000-0005-0000-0000-0000C2000000}"/>
    <cellStyle name="20% - Accent4 15 3" xfId="208" xr:uid="{00000000-0005-0000-0000-0000C3000000}"/>
    <cellStyle name="20% - Accent4 16" xfId="209" xr:uid="{00000000-0005-0000-0000-0000C4000000}"/>
    <cellStyle name="20% - Accent4 2" xfId="210" xr:uid="{00000000-0005-0000-0000-0000C5000000}"/>
    <cellStyle name="20% - Accent4 2 2" xfId="211" xr:uid="{00000000-0005-0000-0000-0000C6000000}"/>
    <cellStyle name="20% - Accent4 2 2 2" xfId="212" xr:uid="{00000000-0005-0000-0000-0000C7000000}"/>
    <cellStyle name="20% - Accent4 2 3" xfId="213" xr:uid="{00000000-0005-0000-0000-0000C8000000}"/>
    <cellStyle name="20% - Accent4 3" xfId="214" xr:uid="{00000000-0005-0000-0000-0000C9000000}"/>
    <cellStyle name="20% - Accent4 3 2" xfId="215" xr:uid="{00000000-0005-0000-0000-0000CA000000}"/>
    <cellStyle name="20% - Accent4 3 2 2" xfId="216" xr:uid="{00000000-0005-0000-0000-0000CB000000}"/>
    <cellStyle name="20% - Accent4 3 3" xfId="217" xr:uid="{00000000-0005-0000-0000-0000CC000000}"/>
    <cellStyle name="20% - Accent4 4" xfId="218" xr:uid="{00000000-0005-0000-0000-0000CD000000}"/>
    <cellStyle name="20% - Accent4 4 2" xfId="219" xr:uid="{00000000-0005-0000-0000-0000CE000000}"/>
    <cellStyle name="20% - Accent4 4 2 2" xfId="220" xr:uid="{00000000-0005-0000-0000-0000CF000000}"/>
    <cellStyle name="20% - Accent4 4 3" xfId="221" xr:uid="{00000000-0005-0000-0000-0000D0000000}"/>
    <cellStyle name="20% - Accent4 5" xfId="222" xr:uid="{00000000-0005-0000-0000-0000D1000000}"/>
    <cellStyle name="20% - Accent4 5 2" xfId="223" xr:uid="{00000000-0005-0000-0000-0000D2000000}"/>
    <cellStyle name="20% - Accent4 5 2 2" xfId="224" xr:uid="{00000000-0005-0000-0000-0000D3000000}"/>
    <cellStyle name="20% - Accent4 5 3" xfId="225" xr:uid="{00000000-0005-0000-0000-0000D4000000}"/>
    <cellStyle name="20% - Accent4 6" xfId="226" xr:uid="{00000000-0005-0000-0000-0000D5000000}"/>
    <cellStyle name="20% - Accent4 6 2" xfId="227" xr:uid="{00000000-0005-0000-0000-0000D6000000}"/>
    <cellStyle name="20% - Accent4 6 2 2" xfId="228" xr:uid="{00000000-0005-0000-0000-0000D7000000}"/>
    <cellStyle name="20% - Accent4 6 3" xfId="229" xr:uid="{00000000-0005-0000-0000-0000D8000000}"/>
    <cellStyle name="20% - Accent4 7" xfId="230" xr:uid="{00000000-0005-0000-0000-0000D9000000}"/>
    <cellStyle name="20% - Accent4 7 2" xfId="231" xr:uid="{00000000-0005-0000-0000-0000DA000000}"/>
    <cellStyle name="20% - Accent4 7 2 2" xfId="232" xr:uid="{00000000-0005-0000-0000-0000DB000000}"/>
    <cellStyle name="20% - Accent4 7 3" xfId="233" xr:uid="{00000000-0005-0000-0000-0000DC000000}"/>
    <cellStyle name="20% - Accent4 8" xfId="234" xr:uid="{00000000-0005-0000-0000-0000DD000000}"/>
    <cellStyle name="20% - Accent4 8 2" xfId="235" xr:uid="{00000000-0005-0000-0000-0000DE000000}"/>
    <cellStyle name="20% - Accent4 8 2 2" xfId="236" xr:uid="{00000000-0005-0000-0000-0000DF000000}"/>
    <cellStyle name="20% - Accent4 8 3" xfId="237" xr:uid="{00000000-0005-0000-0000-0000E0000000}"/>
    <cellStyle name="20% - Accent4 9" xfId="238" xr:uid="{00000000-0005-0000-0000-0000E1000000}"/>
    <cellStyle name="20% - Accent4 9 2" xfId="239" xr:uid="{00000000-0005-0000-0000-0000E2000000}"/>
    <cellStyle name="20% - Accent4 9 2 2" xfId="240" xr:uid="{00000000-0005-0000-0000-0000E3000000}"/>
    <cellStyle name="20% - Accent4 9 3" xfId="241" xr:uid="{00000000-0005-0000-0000-0000E4000000}"/>
    <cellStyle name="20% - Accent5 10" xfId="242" xr:uid="{00000000-0005-0000-0000-0000E5000000}"/>
    <cellStyle name="20% - Accent5 10 2" xfId="243" xr:uid="{00000000-0005-0000-0000-0000E6000000}"/>
    <cellStyle name="20% - Accent5 10 2 2" xfId="244" xr:uid="{00000000-0005-0000-0000-0000E7000000}"/>
    <cellStyle name="20% - Accent5 10 3" xfId="245" xr:uid="{00000000-0005-0000-0000-0000E8000000}"/>
    <cellStyle name="20% - Accent5 11" xfId="246" xr:uid="{00000000-0005-0000-0000-0000E9000000}"/>
    <cellStyle name="20% - Accent5 11 2" xfId="247" xr:uid="{00000000-0005-0000-0000-0000EA000000}"/>
    <cellStyle name="20% - Accent5 11 2 2" xfId="248" xr:uid="{00000000-0005-0000-0000-0000EB000000}"/>
    <cellStyle name="20% - Accent5 11 3" xfId="249" xr:uid="{00000000-0005-0000-0000-0000EC000000}"/>
    <cellStyle name="20% - Accent5 12" xfId="250" xr:uid="{00000000-0005-0000-0000-0000ED000000}"/>
    <cellStyle name="20% - Accent5 12 2" xfId="251" xr:uid="{00000000-0005-0000-0000-0000EE000000}"/>
    <cellStyle name="20% - Accent5 12 2 2" xfId="252" xr:uid="{00000000-0005-0000-0000-0000EF000000}"/>
    <cellStyle name="20% - Accent5 12 3" xfId="253" xr:uid="{00000000-0005-0000-0000-0000F0000000}"/>
    <cellStyle name="20% - Accent5 13" xfId="254" xr:uid="{00000000-0005-0000-0000-0000F1000000}"/>
    <cellStyle name="20% - Accent5 13 2" xfId="255" xr:uid="{00000000-0005-0000-0000-0000F2000000}"/>
    <cellStyle name="20% - Accent5 13 2 2" xfId="256" xr:uid="{00000000-0005-0000-0000-0000F3000000}"/>
    <cellStyle name="20% - Accent5 13 3" xfId="257" xr:uid="{00000000-0005-0000-0000-0000F4000000}"/>
    <cellStyle name="20% - Accent5 14" xfId="258" xr:uid="{00000000-0005-0000-0000-0000F5000000}"/>
    <cellStyle name="20% - Accent5 14 2" xfId="259" xr:uid="{00000000-0005-0000-0000-0000F6000000}"/>
    <cellStyle name="20% - Accent5 14 2 2" xfId="260" xr:uid="{00000000-0005-0000-0000-0000F7000000}"/>
    <cellStyle name="20% - Accent5 14 3" xfId="261" xr:uid="{00000000-0005-0000-0000-0000F8000000}"/>
    <cellStyle name="20% - Accent5 15" xfId="262" xr:uid="{00000000-0005-0000-0000-0000F9000000}"/>
    <cellStyle name="20% - Accent5 15 2" xfId="263" xr:uid="{00000000-0005-0000-0000-0000FA000000}"/>
    <cellStyle name="20% - Accent5 15 2 2" xfId="264" xr:uid="{00000000-0005-0000-0000-0000FB000000}"/>
    <cellStyle name="20% - Accent5 15 3" xfId="265" xr:uid="{00000000-0005-0000-0000-0000FC000000}"/>
    <cellStyle name="20% - Accent5 16" xfId="266" xr:uid="{00000000-0005-0000-0000-0000FD000000}"/>
    <cellStyle name="20% - Accent5 2" xfId="267" xr:uid="{00000000-0005-0000-0000-0000FE000000}"/>
    <cellStyle name="20% - Accent5 2 2" xfId="268" xr:uid="{00000000-0005-0000-0000-0000FF000000}"/>
    <cellStyle name="20% - Accent5 2 2 2" xfId="269" xr:uid="{00000000-0005-0000-0000-000000010000}"/>
    <cellStyle name="20% - Accent5 2 3" xfId="270" xr:uid="{00000000-0005-0000-0000-000001010000}"/>
    <cellStyle name="20% - Accent5 3" xfId="271" xr:uid="{00000000-0005-0000-0000-000002010000}"/>
    <cellStyle name="20% - Accent5 3 2" xfId="272" xr:uid="{00000000-0005-0000-0000-000003010000}"/>
    <cellStyle name="20% - Accent5 3 2 2" xfId="273" xr:uid="{00000000-0005-0000-0000-000004010000}"/>
    <cellStyle name="20% - Accent5 3 3" xfId="274" xr:uid="{00000000-0005-0000-0000-000005010000}"/>
    <cellStyle name="20% - Accent5 4" xfId="275" xr:uid="{00000000-0005-0000-0000-000006010000}"/>
    <cellStyle name="20% - Accent5 4 2" xfId="276" xr:uid="{00000000-0005-0000-0000-000007010000}"/>
    <cellStyle name="20% - Accent5 4 2 2" xfId="277" xr:uid="{00000000-0005-0000-0000-000008010000}"/>
    <cellStyle name="20% - Accent5 4 3" xfId="278" xr:uid="{00000000-0005-0000-0000-000009010000}"/>
    <cellStyle name="20% - Accent5 5" xfId="279" xr:uid="{00000000-0005-0000-0000-00000A010000}"/>
    <cellStyle name="20% - Accent5 5 2" xfId="280" xr:uid="{00000000-0005-0000-0000-00000B010000}"/>
    <cellStyle name="20% - Accent5 5 2 2" xfId="281" xr:uid="{00000000-0005-0000-0000-00000C010000}"/>
    <cellStyle name="20% - Accent5 5 3" xfId="282" xr:uid="{00000000-0005-0000-0000-00000D010000}"/>
    <cellStyle name="20% - Accent5 6" xfId="283" xr:uid="{00000000-0005-0000-0000-00000E010000}"/>
    <cellStyle name="20% - Accent5 6 2" xfId="284" xr:uid="{00000000-0005-0000-0000-00000F010000}"/>
    <cellStyle name="20% - Accent5 6 2 2" xfId="285" xr:uid="{00000000-0005-0000-0000-000010010000}"/>
    <cellStyle name="20% - Accent5 6 3" xfId="286" xr:uid="{00000000-0005-0000-0000-000011010000}"/>
    <cellStyle name="20% - Accent5 7" xfId="287" xr:uid="{00000000-0005-0000-0000-000012010000}"/>
    <cellStyle name="20% - Accent5 7 2" xfId="288" xr:uid="{00000000-0005-0000-0000-000013010000}"/>
    <cellStyle name="20% - Accent5 7 2 2" xfId="289" xr:uid="{00000000-0005-0000-0000-000014010000}"/>
    <cellStyle name="20% - Accent5 7 3" xfId="290" xr:uid="{00000000-0005-0000-0000-000015010000}"/>
    <cellStyle name="20% - Accent5 8" xfId="291" xr:uid="{00000000-0005-0000-0000-000016010000}"/>
    <cellStyle name="20% - Accent5 8 2" xfId="292" xr:uid="{00000000-0005-0000-0000-000017010000}"/>
    <cellStyle name="20% - Accent5 8 2 2" xfId="293" xr:uid="{00000000-0005-0000-0000-000018010000}"/>
    <cellStyle name="20% - Accent5 8 3" xfId="294" xr:uid="{00000000-0005-0000-0000-000019010000}"/>
    <cellStyle name="20% - Accent5 9" xfId="295" xr:uid="{00000000-0005-0000-0000-00001A010000}"/>
    <cellStyle name="20% - Accent5 9 2" xfId="296" xr:uid="{00000000-0005-0000-0000-00001B010000}"/>
    <cellStyle name="20% - Accent5 9 2 2" xfId="297" xr:uid="{00000000-0005-0000-0000-00001C010000}"/>
    <cellStyle name="20% - Accent5 9 3" xfId="298" xr:uid="{00000000-0005-0000-0000-00001D010000}"/>
    <cellStyle name="20% - Accent6 10" xfId="299" xr:uid="{00000000-0005-0000-0000-00001E010000}"/>
    <cellStyle name="20% - Accent6 10 2" xfId="300" xr:uid="{00000000-0005-0000-0000-00001F010000}"/>
    <cellStyle name="20% - Accent6 10 2 2" xfId="301" xr:uid="{00000000-0005-0000-0000-000020010000}"/>
    <cellStyle name="20% - Accent6 10 3" xfId="302" xr:uid="{00000000-0005-0000-0000-000021010000}"/>
    <cellStyle name="20% - Accent6 11" xfId="303" xr:uid="{00000000-0005-0000-0000-000022010000}"/>
    <cellStyle name="20% - Accent6 11 2" xfId="304" xr:uid="{00000000-0005-0000-0000-000023010000}"/>
    <cellStyle name="20% - Accent6 11 2 2" xfId="305" xr:uid="{00000000-0005-0000-0000-000024010000}"/>
    <cellStyle name="20% - Accent6 11 3" xfId="306" xr:uid="{00000000-0005-0000-0000-000025010000}"/>
    <cellStyle name="20% - Accent6 12" xfId="307" xr:uid="{00000000-0005-0000-0000-000026010000}"/>
    <cellStyle name="20% - Accent6 12 2" xfId="308" xr:uid="{00000000-0005-0000-0000-000027010000}"/>
    <cellStyle name="20% - Accent6 12 2 2" xfId="309" xr:uid="{00000000-0005-0000-0000-000028010000}"/>
    <cellStyle name="20% - Accent6 12 3" xfId="310" xr:uid="{00000000-0005-0000-0000-000029010000}"/>
    <cellStyle name="20% - Accent6 13" xfId="311" xr:uid="{00000000-0005-0000-0000-00002A010000}"/>
    <cellStyle name="20% - Accent6 13 2" xfId="312" xr:uid="{00000000-0005-0000-0000-00002B010000}"/>
    <cellStyle name="20% - Accent6 13 2 2" xfId="313" xr:uid="{00000000-0005-0000-0000-00002C010000}"/>
    <cellStyle name="20% - Accent6 13 3" xfId="314" xr:uid="{00000000-0005-0000-0000-00002D010000}"/>
    <cellStyle name="20% - Accent6 14" xfId="315" xr:uid="{00000000-0005-0000-0000-00002E010000}"/>
    <cellStyle name="20% - Accent6 14 2" xfId="316" xr:uid="{00000000-0005-0000-0000-00002F010000}"/>
    <cellStyle name="20% - Accent6 14 2 2" xfId="317" xr:uid="{00000000-0005-0000-0000-000030010000}"/>
    <cellStyle name="20% - Accent6 14 3" xfId="318" xr:uid="{00000000-0005-0000-0000-000031010000}"/>
    <cellStyle name="20% - Accent6 15" xfId="319" xr:uid="{00000000-0005-0000-0000-000032010000}"/>
    <cellStyle name="20% - Accent6 15 2" xfId="320" xr:uid="{00000000-0005-0000-0000-000033010000}"/>
    <cellStyle name="20% - Accent6 15 2 2" xfId="321" xr:uid="{00000000-0005-0000-0000-000034010000}"/>
    <cellStyle name="20% - Accent6 15 3" xfId="322" xr:uid="{00000000-0005-0000-0000-000035010000}"/>
    <cellStyle name="20% - Accent6 16" xfId="323" xr:uid="{00000000-0005-0000-0000-000036010000}"/>
    <cellStyle name="20% - Accent6 2" xfId="324" xr:uid="{00000000-0005-0000-0000-000037010000}"/>
    <cellStyle name="20% - Accent6 2 2" xfId="325" xr:uid="{00000000-0005-0000-0000-000038010000}"/>
    <cellStyle name="20% - Accent6 2 2 2" xfId="326" xr:uid="{00000000-0005-0000-0000-000039010000}"/>
    <cellStyle name="20% - Accent6 2 3" xfId="327" xr:uid="{00000000-0005-0000-0000-00003A010000}"/>
    <cellStyle name="20% - Accent6 3" xfId="328" xr:uid="{00000000-0005-0000-0000-00003B010000}"/>
    <cellStyle name="20% - Accent6 3 2" xfId="329" xr:uid="{00000000-0005-0000-0000-00003C010000}"/>
    <cellStyle name="20% - Accent6 3 2 2" xfId="330" xr:uid="{00000000-0005-0000-0000-00003D010000}"/>
    <cellStyle name="20% - Accent6 3 3" xfId="331" xr:uid="{00000000-0005-0000-0000-00003E010000}"/>
    <cellStyle name="20% - Accent6 4" xfId="332" xr:uid="{00000000-0005-0000-0000-00003F010000}"/>
    <cellStyle name="20% - Accent6 4 2" xfId="333" xr:uid="{00000000-0005-0000-0000-000040010000}"/>
    <cellStyle name="20% - Accent6 4 2 2" xfId="334" xr:uid="{00000000-0005-0000-0000-000041010000}"/>
    <cellStyle name="20% - Accent6 4 3" xfId="335" xr:uid="{00000000-0005-0000-0000-000042010000}"/>
    <cellStyle name="20% - Accent6 5" xfId="336" xr:uid="{00000000-0005-0000-0000-000043010000}"/>
    <cellStyle name="20% - Accent6 5 2" xfId="337" xr:uid="{00000000-0005-0000-0000-000044010000}"/>
    <cellStyle name="20% - Accent6 5 2 2" xfId="338" xr:uid="{00000000-0005-0000-0000-000045010000}"/>
    <cellStyle name="20% - Accent6 5 3" xfId="339" xr:uid="{00000000-0005-0000-0000-000046010000}"/>
    <cellStyle name="20% - Accent6 6" xfId="340" xr:uid="{00000000-0005-0000-0000-000047010000}"/>
    <cellStyle name="20% - Accent6 6 2" xfId="341" xr:uid="{00000000-0005-0000-0000-000048010000}"/>
    <cellStyle name="20% - Accent6 6 2 2" xfId="342" xr:uid="{00000000-0005-0000-0000-000049010000}"/>
    <cellStyle name="20% - Accent6 6 3" xfId="343" xr:uid="{00000000-0005-0000-0000-00004A010000}"/>
    <cellStyle name="20% - Accent6 7" xfId="344" xr:uid="{00000000-0005-0000-0000-00004B010000}"/>
    <cellStyle name="20% - Accent6 7 2" xfId="345" xr:uid="{00000000-0005-0000-0000-00004C010000}"/>
    <cellStyle name="20% - Accent6 7 2 2" xfId="346" xr:uid="{00000000-0005-0000-0000-00004D010000}"/>
    <cellStyle name="20% - Accent6 7 3" xfId="347" xr:uid="{00000000-0005-0000-0000-00004E010000}"/>
    <cellStyle name="20% - Accent6 8" xfId="348" xr:uid="{00000000-0005-0000-0000-00004F010000}"/>
    <cellStyle name="20% - Accent6 8 2" xfId="349" xr:uid="{00000000-0005-0000-0000-000050010000}"/>
    <cellStyle name="20% - Accent6 8 2 2" xfId="350" xr:uid="{00000000-0005-0000-0000-000051010000}"/>
    <cellStyle name="20% - Accent6 8 3" xfId="351" xr:uid="{00000000-0005-0000-0000-000052010000}"/>
    <cellStyle name="20% - Accent6 9" xfId="352" xr:uid="{00000000-0005-0000-0000-000053010000}"/>
    <cellStyle name="20% - Accent6 9 2" xfId="353" xr:uid="{00000000-0005-0000-0000-000054010000}"/>
    <cellStyle name="20% - Accent6 9 2 2" xfId="354" xr:uid="{00000000-0005-0000-0000-000055010000}"/>
    <cellStyle name="20% - Accent6 9 3" xfId="355" xr:uid="{00000000-0005-0000-0000-000056010000}"/>
    <cellStyle name="40% - Accent1 10" xfId="356" xr:uid="{00000000-0005-0000-0000-000057010000}"/>
    <cellStyle name="40% - Accent1 10 2" xfId="357" xr:uid="{00000000-0005-0000-0000-000058010000}"/>
    <cellStyle name="40% - Accent1 10 2 2" xfId="358" xr:uid="{00000000-0005-0000-0000-000059010000}"/>
    <cellStyle name="40% - Accent1 10 3" xfId="359" xr:uid="{00000000-0005-0000-0000-00005A010000}"/>
    <cellStyle name="40% - Accent1 11" xfId="360" xr:uid="{00000000-0005-0000-0000-00005B010000}"/>
    <cellStyle name="40% - Accent1 11 2" xfId="361" xr:uid="{00000000-0005-0000-0000-00005C010000}"/>
    <cellStyle name="40% - Accent1 11 2 2" xfId="362" xr:uid="{00000000-0005-0000-0000-00005D010000}"/>
    <cellStyle name="40% - Accent1 11 3" xfId="363" xr:uid="{00000000-0005-0000-0000-00005E010000}"/>
    <cellStyle name="40% - Accent1 12" xfId="364" xr:uid="{00000000-0005-0000-0000-00005F010000}"/>
    <cellStyle name="40% - Accent1 12 2" xfId="365" xr:uid="{00000000-0005-0000-0000-000060010000}"/>
    <cellStyle name="40% - Accent1 12 2 2" xfId="366" xr:uid="{00000000-0005-0000-0000-000061010000}"/>
    <cellStyle name="40% - Accent1 12 3" xfId="367" xr:uid="{00000000-0005-0000-0000-000062010000}"/>
    <cellStyle name="40% - Accent1 13" xfId="368" xr:uid="{00000000-0005-0000-0000-000063010000}"/>
    <cellStyle name="40% - Accent1 13 2" xfId="369" xr:uid="{00000000-0005-0000-0000-000064010000}"/>
    <cellStyle name="40% - Accent1 13 2 2" xfId="370" xr:uid="{00000000-0005-0000-0000-000065010000}"/>
    <cellStyle name="40% - Accent1 13 3" xfId="371" xr:uid="{00000000-0005-0000-0000-000066010000}"/>
    <cellStyle name="40% - Accent1 14" xfId="372" xr:uid="{00000000-0005-0000-0000-000067010000}"/>
    <cellStyle name="40% - Accent1 14 2" xfId="373" xr:uid="{00000000-0005-0000-0000-000068010000}"/>
    <cellStyle name="40% - Accent1 14 2 2" xfId="374" xr:uid="{00000000-0005-0000-0000-000069010000}"/>
    <cellStyle name="40% - Accent1 14 3" xfId="375" xr:uid="{00000000-0005-0000-0000-00006A010000}"/>
    <cellStyle name="40% - Accent1 15" xfId="376" xr:uid="{00000000-0005-0000-0000-00006B010000}"/>
    <cellStyle name="40% - Accent1 15 2" xfId="377" xr:uid="{00000000-0005-0000-0000-00006C010000}"/>
    <cellStyle name="40% - Accent1 15 2 2" xfId="378" xr:uid="{00000000-0005-0000-0000-00006D010000}"/>
    <cellStyle name="40% - Accent1 15 3" xfId="379" xr:uid="{00000000-0005-0000-0000-00006E010000}"/>
    <cellStyle name="40% - Accent1 16" xfId="380" xr:uid="{00000000-0005-0000-0000-00006F010000}"/>
    <cellStyle name="40% - Accent1 2" xfId="381" xr:uid="{00000000-0005-0000-0000-000070010000}"/>
    <cellStyle name="40% - Accent1 2 2" xfId="382" xr:uid="{00000000-0005-0000-0000-000071010000}"/>
    <cellStyle name="40% - Accent1 2 2 2" xfId="383" xr:uid="{00000000-0005-0000-0000-000072010000}"/>
    <cellStyle name="40% - Accent1 2 3" xfId="384" xr:uid="{00000000-0005-0000-0000-000073010000}"/>
    <cellStyle name="40% - Accent1 3" xfId="385" xr:uid="{00000000-0005-0000-0000-000074010000}"/>
    <cellStyle name="40% - Accent1 3 2" xfId="386" xr:uid="{00000000-0005-0000-0000-000075010000}"/>
    <cellStyle name="40% - Accent1 3 2 2" xfId="387" xr:uid="{00000000-0005-0000-0000-000076010000}"/>
    <cellStyle name="40% - Accent1 3 3" xfId="388" xr:uid="{00000000-0005-0000-0000-000077010000}"/>
    <cellStyle name="40% - Accent1 4" xfId="389" xr:uid="{00000000-0005-0000-0000-000078010000}"/>
    <cellStyle name="40% - Accent1 4 2" xfId="390" xr:uid="{00000000-0005-0000-0000-000079010000}"/>
    <cellStyle name="40% - Accent1 4 2 2" xfId="391" xr:uid="{00000000-0005-0000-0000-00007A010000}"/>
    <cellStyle name="40% - Accent1 4 3" xfId="392" xr:uid="{00000000-0005-0000-0000-00007B010000}"/>
    <cellStyle name="40% - Accent1 5" xfId="393" xr:uid="{00000000-0005-0000-0000-00007C010000}"/>
    <cellStyle name="40% - Accent1 5 2" xfId="394" xr:uid="{00000000-0005-0000-0000-00007D010000}"/>
    <cellStyle name="40% - Accent1 5 2 2" xfId="395" xr:uid="{00000000-0005-0000-0000-00007E010000}"/>
    <cellStyle name="40% - Accent1 5 3" xfId="396" xr:uid="{00000000-0005-0000-0000-00007F010000}"/>
    <cellStyle name="40% - Accent1 6" xfId="397" xr:uid="{00000000-0005-0000-0000-000080010000}"/>
    <cellStyle name="40% - Accent1 6 2" xfId="398" xr:uid="{00000000-0005-0000-0000-000081010000}"/>
    <cellStyle name="40% - Accent1 6 2 2" xfId="399" xr:uid="{00000000-0005-0000-0000-000082010000}"/>
    <cellStyle name="40% - Accent1 6 3" xfId="400" xr:uid="{00000000-0005-0000-0000-000083010000}"/>
    <cellStyle name="40% - Accent1 7" xfId="401" xr:uid="{00000000-0005-0000-0000-000084010000}"/>
    <cellStyle name="40% - Accent1 7 2" xfId="402" xr:uid="{00000000-0005-0000-0000-000085010000}"/>
    <cellStyle name="40% - Accent1 7 2 2" xfId="403" xr:uid="{00000000-0005-0000-0000-000086010000}"/>
    <cellStyle name="40% - Accent1 7 3" xfId="404" xr:uid="{00000000-0005-0000-0000-000087010000}"/>
    <cellStyle name="40% - Accent1 8" xfId="405" xr:uid="{00000000-0005-0000-0000-000088010000}"/>
    <cellStyle name="40% - Accent1 8 2" xfId="406" xr:uid="{00000000-0005-0000-0000-000089010000}"/>
    <cellStyle name="40% - Accent1 8 2 2" xfId="407" xr:uid="{00000000-0005-0000-0000-00008A010000}"/>
    <cellStyle name="40% - Accent1 8 3" xfId="408" xr:uid="{00000000-0005-0000-0000-00008B010000}"/>
    <cellStyle name="40% - Accent1 9" xfId="409" xr:uid="{00000000-0005-0000-0000-00008C010000}"/>
    <cellStyle name="40% - Accent1 9 2" xfId="410" xr:uid="{00000000-0005-0000-0000-00008D010000}"/>
    <cellStyle name="40% - Accent1 9 2 2" xfId="411" xr:uid="{00000000-0005-0000-0000-00008E010000}"/>
    <cellStyle name="40% - Accent1 9 3" xfId="412" xr:uid="{00000000-0005-0000-0000-00008F010000}"/>
    <cellStyle name="40% - Accent2 10" xfId="413" xr:uid="{00000000-0005-0000-0000-000090010000}"/>
    <cellStyle name="40% - Accent2 10 2" xfId="414" xr:uid="{00000000-0005-0000-0000-000091010000}"/>
    <cellStyle name="40% - Accent2 10 2 2" xfId="415" xr:uid="{00000000-0005-0000-0000-000092010000}"/>
    <cellStyle name="40% - Accent2 10 3" xfId="416" xr:uid="{00000000-0005-0000-0000-000093010000}"/>
    <cellStyle name="40% - Accent2 11" xfId="417" xr:uid="{00000000-0005-0000-0000-000094010000}"/>
    <cellStyle name="40% - Accent2 11 2" xfId="418" xr:uid="{00000000-0005-0000-0000-000095010000}"/>
    <cellStyle name="40% - Accent2 11 2 2" xfId="419" xr:uid="{00000000-0005-0000-0000-000096010000}"/>
    <cellStyle name="40% - Accent2 11 3" xfId="420" xr:uid="{00000000-0005-0000-0000-000097010000}"/>
    <cellStyle name="40% - Accent2 12" xfId="421" xr:uid="{00000000-0005-0000-0000-000098010000}"/>
    <cellStyle name="40% - Accent2 12 2" xfId="422" xr:uid="{00000000-0005-0000-0000-000099010000}"/>
    <cellStyle name="40% - Accent2 12 2 2" xfId="423" xr:uid="{00000000-0005-0000-0000-00009A010000}"/>
    <cellStyle name="40% - Accent2 12 3" xfId="424" xr:uid="{00000000-0005-0000-0000-00009B010000}"/>
    <cellStyle name="40% - Accent2 13" xfId="425" xr:uid="{00000000-0005-0000-0000-00009C010000}"/>
    <cellStyle name="40% - Accent2 13 2" xfId="426" xr:uid="{00000000-0005-0000-0000-00009D010000}"/>
    <cellStyle name="40% - Accent2 13 2 2" xfId="427" xr:uid="{00000000-0005-0000-0000-00009E010000}"/>
    <cellStyle name="40% - Accent2 13 3" xfId="428" xr:uid="{00000000-0005-0000-0000-00009F010000}"/>
    <cellStyle name="40% - Accent2 14" xfId="429" xr:uid="{00000000-0005-0000-0000-0000A0010000}"/>
    <cellStyle name="40% - Accent2 14 2" xfId="430" xr:uid="{00000000-0005-0000-0000-0000A1010000}"/>
    <cellStyle name="40% - Accent2 14 2 2" xfId="431" xr:uid="{00000000-0005-0000-0000-0000A2010000}"/>
    <cellStyle name="40% - Accent2 14 3" xfId="432" xr:uid="{00000000-0005-0000-0000-0000A3010000}"/>
    <cellStyle name="40% - Accent2 15" xfId="433" xr:uid="{00000000-0005-0000-0000-0000A4010000}"/>
    <cellStyle name="40% - Accent2 15 2" xfId="434" xr:uid="{00000000-0005-0000-0000-0000A5010000}"/>
    <cellStyle name="40% - Accent2 15 2 2" xfId="435" xr:uid="{00000000-0005-0000-0000-0000A6010000}"/>
    <cellStyle name="40% - Accent2 15 3" xfId="436" xr:uid="{00000000-0005-0000-0000-0000A7010000}"/>
    <cellStyle name="40% - Accent2 16" xfId="437" xr:uid="{00000000-0005-0000-0000-0000A8010000}"/>
    <cellStyle name="40% - Accent2 2" xfId="438" xr:uid="{00000000-0005-0000-0000-0000A9010000}"/>
    <cellStyle name="40% - Accent2 2 2" xfId="439" xr:uid="{00000000-0005-0000-0000-0000AA010000}"/>
    <cellStyle name="40% - Accent2 2 2 2" xfId="440" xr:uid="{00000000-0005-0000-0000-0000AB010000}"/>
    <cellStyle name="40% - Accent2 2 3" xfId="441" xr:uid="{00000000-0005-0000-0000-0000AC010000}"/>
    <cellStyle name="40% - Accent2 3" xfId="442" xr:uid="{00000000-0005-0000-0000-0000AD010000}"/>
    <cellStyle name="40% - Accent2 3 2" xfId="443" xr:uid="{00000000-0005-0000-0000-0000AE010000}"/>
    <cellStyle name="40% - Accent2 3 2 2" xfId="444" xr:uid="{00000000-0005-0000-0000-0000AF010000}"/>
    <cellStyle name="40% - Accent2 3 3" xfId="445" xr:uid="{00000000-0005-0000-0000-0000B0010000}"/>
    <cellStyle name="40% - Accent2 4" xfId="446" xr:uid="{00000000-0005-0000-0000-0000B1010000}"/>
    <cellStyle name="40% - Accent2 4 2" xfId="447" xr:uid="{00000000-0005-0000-0000-0000B2010000}"/>
    <cellStyle name="40% - Accent2 4 2 2" xfId="448" xr:uid="{00000000-0005-0000-0000-0000B3010000}"/>
    <cellStyle name="40% - Accent2 4 3" xfId="449" xr:uid="{00000000-0005-0000-0000-0000B4010000}"/>
    <cellStyle name="40% - Accent2 5" xfId="450" xr:uid="{00000000-0005-0000-0000-0000B5010000}"/>
    <cellStyle name="40% - Accent2 5 2" xfId="451" xr:uid="{00000000-0005-0000-0000-0000B6010000}"/>
    <cellStyle name="40% - Accent2 5 2 2" xfId="452" xr:uid="{00000000-0005-0000-0000-0000B7010000}"/>
    <cellStyle name="40% - Accent2 5 3" xfId="453" xr:uid="{00000000-0005-0000-0000-0000B8010000}"/>
    <cellStyle name="40% - Accent2 6" xfId="454" xr:uid="{00000000-0005-0000-0000-0000B9010000}"/>
    <cellStyle name="40% - Accent2 6 2" xfId="455" xr:uid="{00000000-0005-0000-0000-0000BA010000}"/>
    <cellStyle name="40% - Accent2 6 2 2" xfId="456" xr:uid="{00000000-0005-0000-0000-0000BB010000}"/>
    <cellStyle name="40% - Accent2 6 3" xfId="457" xr:uid="{00000000-0005-0000-0000-0000BC010000}"/>
    <cellStyle name="40% - Accent2 7" xfId="458" xr:uid="{00000000-0005-0000-0000-0000BD010000}"/>
    <cellStyle name="40% - Accent2 7 2" xfId="459" xr:uid="{00000000-0005-0000-0000-0000BE010000}"/>
    <cellStyle name="40% - Accent2 7 2 2" xfId="460" xr:uid="{00000000-0005-0000-0000-0000BF010000}"/>
    <cellStyle name="40% - Accent2 7 3" xfId="461" xr:uid="{00000000-0005-0000-0000-0000C0010000}"/>
    <cellStyle name="40% - Accent2 8" xfId="462" xr:uid="{00000000-0005-0000-0000-0000C1010000}"/>
    <cellStyle name="40% - Accent2 8 2" xfId="463" xr:uid="{00000000-0005-0000-0000-0000C2010000}"/>
    <cellStyle name="40% - Accent2 8 2 2" xfId="464" xr:uid="{00000000-0005-0000-0000-0000C3010000}"/>
    <cellStyle name="40% - Accent2 8 3" xfId="465" xr:uid="{00000000-0005-0000-0000-0000C4010000}"/>
    <cellStyle name="40% - Accent2 9" xfId="466" xr:uid="{00000000-0005-0000-0000-0000C5010000}"/>
    <cellStyle name="40% - Accent2 9 2" xfId="467" xr:uid="{00000000-0005-0000-0000-0000C6010000}"/>
    <cellStyle name="40% - Accent2 9 2 2" xfId="468" xr:uid="{00000000-0005-0000-0000-0000C7010000}"/>
    <cellStyle name="40% - Accent2 9 3" xfId="469" xr:uid="{00000000-0005-0000-0000-0000C8010000}"/>
    <cellStyle name="40% - Accent3 10" xfId="470" xr:uid="{00000000-0005-0000-0000-0000C9010000}"/>
    <cellStyle name="40% - Accent3 10 2" xfId="471" xr:uid="{00000000-0005-0000-0000-0000CA010000}"/>
    <cellStyle name="40% - Accent3 10 2 2" xfId="472" xr:uid="{00000000-0005-0000-0000-0000CB010000}"/>
    <cellStyle name="40% - Accent3 10 3" xfId="473" xr:uid="{00000000-0005-0000-0000-0000CC010000}"/>
    <cellStyle name="40% - Accent3 11" xfId="474" xr:uid="{00000000-0005-0000-0000-0000CD010000}"/>
    <cellStyle name="40% - Accent3 11 2" xfId="475" xr:uid="{00000000-0005-0000-0000-0000CE010000}"/>
    <cellStyle name="40% - Accent3 11 2 2" xfId="476" xr:uid="{00000000-0005-0000-0000-0000CF010000}"/>
    <cellStyle name="40% - Accent3 11 3" xfId="477" xr:uid="{00000000-0005-0000-0000-0000D0010000}"/>
    <cellStyle name="40% - Accent3 12" xfId="478" xr:uid="{00000000-0005-0000-0000-0000D1010000}"/>
    <cellStyle name="40% - Accent3 12 2" xfId="479" xr:uid="{00000000-0005-0000-0000-0000D2010000}"/>
    <cellStyle name="40% - Accent3 12 2 2" xfId="480" xr:uid="{00000000-0005-0000-0000-0000D3010000}"/>
    <cellStyle name="40% - Accent3 12 3" xfId="481" xr:uid="{00000000-0005-0000-0000-0000D4010000}"/>
    <cellStyle name="40% - Accent3 13" xfId="482" xr:uid="{00000000-0005-0000-0000-0000D5010000}"/>
    <cellStyle name="40% - Accent3 13 2" xfId="483" xr:uid="{00000000-0005-0000-0000-0000D6010000}"/>
    <cellStyle name="40% - Accent3 13 2 2" xfId="484" xr:uid="{00000000-0005-0000-0000-0000D7010000}"/>
    <cellStyle name="40% - Accent3 13 3" xfId="485" xr:uid="{00000000-0005-0000-0000-0000D8010000}"/>
    <cellStyle name="40% - Accent3 14" xfId="486" xr:uid="{00000000-0005-0000-0000-0000D9010000}"/>
    <cellStyle name="40% - Accent3 14 2" xfId="487" xr:uid="{00000000-0005-0000-0000-0000DA010000}"/>
    <cellStyle name="40% - Accent3 14 2 2" xfId="488" xr:uid="{00000000-0005-0000-0000-0000DB010000}"/>
    <cellStyle name="40% - Accent3 14 3" xfId="489" xr:uid="{00000000-0005-0000-0000-0000DC010000}"/>
    <cellStyle name="40% - Accent3 15" xfId="490" xr:uid="{00000000-0005-0000-0000-0000DD010000}"/>
    <cellStyle name="40% - Accent3 15 2" xfId="491" xr:uid="{00000000-0005-0000-0000-0000DE010000}"/>
    <cellStyle name="40% - Accent3 15 2 2" xfId="492" xr:uid="{00000000-0005-0000-0000-0000DF010000}"/>
    <cellStyle name="40% - Accent3 15 3" xfId="493" xr:uid="{00000000-0005-0000-0000-0000E0010000}"/>
    <cellStyle name="40% - Accent3 16" xfId="494" xr:uid="{00000000-0005-0000-0000-0000E1010000}"/>
    <cellStyle name="40% - Accent3 2" xfId="495" xr:uid="{00000000-0005-0000-0000-0000E2010000}"/>
    <cellStyle name="40% - Accent3 2 2" xfId="496" xr:uid="{00000000-0005-0000-0000-0000E3010000}"/>
    <cellStyle name="40% - Accent3 2 2 2" xfId="497" xr:uid="{00000000-0005-0000-0000-0000E4010000}"/>
    <cellStyle name="40% - Accent3 2 3" xfId="498" xr:uid="{00000000-0005-0000-0000-0000E5010000}"/>
    <cellStyle name="40% - Accent3 3" xfId="499" xr:uid="{00000000-0005-0000-0000-0000E6010000}"/>
    <cellStyle name="40% - Accent3 3 2" xfId="500" xr:uid="{00000000-0005-0000-0000-0000E7010000}"/>
    <cellStyle name="40% - Accent3 3 2 2" xfId="501" xr:uid="{00000000-0005-0000-0000-0000E8010000}"/>
    <cellStyle name="40% - Accent3 3 3" xfId="502" xr:uid="{00000000-0005-0000-0000-0000E9010000}"/>
    <cellStyle name="40% - Accent3 4" xfId="503" xr:uid="{00000000-0005-0000-0000-0000EA010000}"/>
    <cellStyle name="40% - Accent3 4 2" xfId="504" xr:uid="{00000000-0005-0000-0000-0000EB010000}"/>
    <cellStyle name="40% - Accent3 4 2 2" xfId="505" xr:uid="{00000000-0005-0000-0000-0000EC010000}"/>
    <cellStyle name="40% - Accent3 4 3" xfId="506" xr:uid="{00000000-0005-0000-0000-0000ED010000}"/>
    <cellStyle name="40% - Accent3 5" xfId="507" xr:uid="{00000000-0005-0000-0000-0000EE010000}"/>
    <cellStyle name="40% - Accent3 5 2" xfId="508" xr:uid="{00000000-0005-0000-0000-0000EF010000}"/>
    <cellStyle name="40% - Accent3 5 2 2" xfId="509" xr:uid="{00000000-0005-0000-0000-0000F0010000}"/>
    <cellStyle name="40% - Accent3 5 3" xfId="510" xr:uid="{00000000-0005-0000-0000-0000F1010000}"/>
    <cellStyle name="40% - Accent3 6" xfId="511" xr:uid="{00000000-0005-0000-0000-0000F2010000}"/>
    <cellStyle name="40% - Accent3 6 2" xfId="512" xr:uid="{00000000-0005-0000-0000-0000F3010000}"/>
    <cellStyle name="40% - Accent3 6 2 2" xfId="513" xr:uid="{00000000-0005-0000-0000-0000F4010000}"/>
    <cellStyle name="40% - Accent3 6 3" xfId="514" xr:uid="{00000000-0005-0000-0000-0000F5010000}"/>
    <cellStyle name="40% - Accent3 7" xfId="515" xr:uid="{00000000-0005-0000-0000-0000F6010000}"/>
    <cellStyle name="40% - Accent3 7 2" xfId="516" xr:uid="{00000000-0005-0000-0000-0000F7010000}"/>
    <cellStyle name="40% - Accent3 7 2 2" xfId="517" xr:uid="{00000000-0005-0000-0000-0000F8010000}"/>
    <cellStyle name="40% - Accent3 7 3" xfId="518" xr:uid="{00000000-0005-0000-0000-0000F9010000}"/>
    <cellStyle name="40% - Accent3 8" xfId="519" xr:uid="{00000000-0005-0000-0000-0000FA010000}"/>
    <cellStyle name="40% - Accent3 8 2" xfId="520" xr:uid="{00000000-0005-0000-0000-0000FB010000}"/>
    <cellStyle name="40% - Accent3 8 2 2" xfId="521" xr:uid="{00000000-0005-0000-0000-0000FC010000}"/>
    <cellStyle name="40% - Accent3 8 3" xfId="522" xr:uid="{00000000-0005-0000-0000-0000FD010000}"/>
    <cellStyle name="40% - Accent3 9" xfId="523" xr:uid="{00000000-0005-0000-0000-0000FE010000}"/>
    <cellStyle name="40% - Accent3 9 2" xfId="524" xr:uid="{00000000-0005-0000-0000-0000FF010000}"/>
    <cellStyle name="40% - Accent3 9 2 2" xfId="525" xr:uid="{00000000-0005-0000-0000-000000020000}"/>
    <cellStyle name="40% - Accent3 9 3" xfId="526" xr:uid="{00000000-0005-0000-0000-000001020000}"/>
    <cellStyle name="40% - Accent4 10" xfId="527" xr:uid="{00000000-0005-0000-0000-000002020000}"/>
    <cellStyle name="40% - Accent4 10 2" xfId="528" xr:uid="{00000000-0005-0000-0000-000003020000}"/>
    <cellStyle name="40% - Accent4 10 2 2" xfId="529" xr:uid="{00000000-0005-0000-0000-000004020000}"/>
    <cellStyle name="40% - Accent4 10 3" xfId="530" xr:uid="{00000000-0005-0000-0000-000005020000}"/>
    <cellStyle name="40% - Accent4 11" xfId="531" xr:uid="{00000000-0005-0000-0000-000006020000}"/>
    <cellStyle name="40% - Accent4 11 2" xfId="532" xr:uid="{00000000-0005-0000-0000-000007020000}"/>
    <cellStyle name="40% - Accent4 11 2 2" xfId="533" xr:uid="{00000000-0005-0000-0000-000008020000}"/>
    <cellStyle name="40% - Accent4 11 3" xfId="534" xr:uid="{00000000-0005-0000-0000-000009020000}"/>
    <cellStyle name="40% - Accent4 12" xfId="535" xr:uid="{00000000-0005-0000-0000-00000A020000}"/>
    <cellStyle name="40% - Accent4 12 2" xfId="536" xr:uid="{00000000-0005-0000-0000-00000B020000}"/>
    <cellStyle name="40% - Accent4 12 2 2" xfId="537" xr:uid="{00000000-0005-0000-0000-00000C020000}"/>
    <cellStyle name="40% - Accent4 12 3" xfId="538" xr:uid="{00000000-0005-0000-0000-00000D020000}"/>
    <cellStyle name="40% - Accent4 13" xfId="539" xr:uid="{00000000-0005-0000-0000-00000E020000}"/>
    <cellStyle name="40% - Accent4 13 2" xfId="540" xr:uid="{00000000-0005-0000-0000-00000F020000}"/>
    <cellStyle name="40% - Accent4 13 2 2" xfId="541" xr:uid="{00000000-0005-0000-0000-000010020000}"/>
    <cellStyle name="40% - Accent4 13 3" xfId="542" xr:uid="{00000000-0005-0000-0000-000011020000}"/>
    <cellStyle name="40% - Accent4 14" xfId="543" xr:uid="{00000000-0005-0000-0000-000012020000}"/>
    <cellStyle name="40% - Accent4 14 2" xfId="544" xr:uid="{00000000-0005-0000-0000-000013020000}"/>
    <cellStyle name="40% - Accent4 14 2 2" xfId="545" xr:uid="{00000000-0005-0000-0000-000014020000}"/>
    <cellStyle name="40% - Accent4 14 3" xfId="546" xr:uid="{00000000-0005-0000-0000-000015020000}"/>
    <cellStyle name="40% - Accent4 15" xfId="547" xr:uid="{00000000-0005-0000-0000-000016020000}"/>
    <cellStyle name="40% - Accent4 15 2" xfId="548" xr:uid="{00000000-0005-0000-0000-000017020000}"/>
    <cellStyle name="40% - Accent4 15 2 2" xfId="549" xr:uid="{00000000-0005-0000-0000-000018020000}"/>
    <cellStyle name="40% - Accent4 15 3" xfId="550" xr:uid="{00000000-0005-0000-0000-000019020000}"/>
    <cellStyle name="40% - Accent4 16" xfId="551" xr:uid="{00000000-0005-0000-0000-00001A020000}"/>
    <cellStyle name="40% - Accent4 2" xfId="552" xr:uid="{00000000-0005-0000-0000-00001B020000}"/>
    <cellStyle name="40% - Accent4 2 2" xfId="553" xr:uid="{00000000-0005-0000-0000-00001C020000}"/>
    <cellStyle name="40% - Accent4 2 2 2" xfId="554" xr:uid="{00000000-0005-0000-0000-00001D020000}"/>
    <cellStyle name="40% - Accent4 2 3" xfId="555" xr:uid="{00000000-0005-0000-0000-00001E020000}"/>
    <cellStyle name="40% - Accent4 3" xfId="556" xr:uid="{00000000-0005-0000-0000-00001F020000}"/>
    <cellStyle name="40% - Accent4 3 2" xfId="557" xr:uid="{00000000-0005-0000-0000-000020020000}"/>
    <cellStyle name="40% - Accent4 3 2 2" xfId="558" xr:uid="{00000000-0005-0000-0000-000021020000}"/>
    <cellStyle name="40% - Accent4 3 3" xfId="559" xr:uid="{00000000-0005-0000-0000-000022020000}"/>
    <cellStyle name="40% - Accent4 4" xfId="560" xr:uid="{00000000-0005-0000-0000-000023020000}"/>
    <cellStyle name="40% - Accent4 4 2" xfId="561" xr:uid="{00000000-0005-0000-0000-000024020000}"/>
    <cellStyle name="40% - Accent4 4 2 2" xfId="562" xr:uid="{00000000-0005-0000-0000-000025020000}"/>
    <cellStyle name="40% - Accent4 4 3" xfId="563" xr:uid="{00000000-0005-0000-0000-000026020000}"/>
    <cellStyle name="40% - Accent4 5" xfId="564" xr:uid="{00000000-0005-0000-0000-000027020000}"/>
    <cellStyle name="40% - Accent4 5 2" xfId="565" xr:uid="{00000000-0005-0000-0000-000028020000}"/>
    <cellStyle name="40% - Accent4 5 2 2" xfId="566" xr:uid="{00000000-0005-0000-0000-000029020000}"/>
    <cellStyle name="40% - Accent4 5 3" xfId="567" xr:uid="{00000000-0005-0000-0000-00002A020000}"/>
    <cellStyle name="40% - Accent4 6" xfId="568" xr:uid="{00000000-0005-0000-0000-00002B020000}"/>
    <cellStyle name="40% - Accent4 6 2" xfId="569" xr:uid="{00000000-0005-0000-0000-00002C020000}"/>
    <cellStyle name="40% - Accent4 6 2 2" xfId="570" xr:uid="{00000000-0005-0000-0000-00002D020000}"/>
    <cellStyle name="40% - Accent4 6 3" xfId="571" xr:uid="{00000000-0005-0000-0000-00002E020000}"/>
    <cellStyle name="40% - Accent4 7" xfId="572" xr:uid="{00000000-0005-0000-0000-00002F020000}"/>
    <cellStyle name="40% - Accent4 7 2" xfId="573" xr:uid="{00000000-0005-0000-0000-000030020000}"/>
    <cellStyle name="40% - Accent4 7 2 2" xfId="574" xr:uid="{00000000-0005-0000-0000-000031020000}"/>
    <cellStyle name="40% - Accent4 7 3" xfId="575" xr:uid="{00000000-0005-0000-0000-000032020000}"/>
    <cellStyle name="40% - Accent4 8" xfId="576" xr:uid="{00000000-0005-0000-0000-000033020000}"/>
    <cellStyle name="40% - Accent4 8 2" xfId="577" xr:uid="{00000000-0005-0000-0000-000034020000}"/>
    <cellStyle name="40% - Accent4 8 2 2" xfId="578" xr:uid="{00000000-0005-0000-0000-000035020000}"/>
    <cellStyle name="40% - Accent4 8 3" xfId="579" xr:uid="{00000000-0005-0000-0000-000036020000}"/>
    <cellStyle name="40% - Accent4 9" xfId="580" xr:uid="{00000000-0005-0000-0000-000037020000}"/>
    <cellStyle name="40% - Accent4 9 2" xfId="581" xr:uid="{00000000-0005-0000-0000-000038020000}"/>
    <cellStyle name="40% - Accent4 9 2 2" xfId="582" xr:uid="{00000000-0005-0000-0000-000039020000}"/>
    <cellStyle name="40% - Accent4 9 3" xfId="583" xr:uid="{00000000-0005-0000-0000-00003A020000}"/>
    <cellStyle name="40% - Accent5 10" xfId="584" xr:uid="{00000000-0005-0000-0000-00003B020000}"/>
    <cellStyle name="40% - Accent5 10 2" xfId="585" xr:uid="{00000000-0005-0000-0000-00003C020000}"/>
    <cellStyle name="40% - Accent5 10 2 2" xfId="586" xr:uid="{00000000-0005-0000-0000-00003D020000}"/>
    <cellStyle name="40% - Accent5 10 3" xfId="587" xr:uid="{00000000-0005-0000-0000-00003E020000}"/>
    <cellStyle name="40% - Accent5 11" xfId="588" xr:uid="{00000000-0005-0000-0000-00003F020000}"/>
    <cellStyle name="40% - Accent5 11 2" xfId="589" xr:uid="{00000000-0005-0000-0000-000040020000}"/>
    <cellStyle name="40% - Accent5 11 2 2" xfId="590" xr:uid="{00000000-0005-0000-0000-000041020000}"/>
    <cellStyle name="40% - Accent5 11 3" xfId="591" xr:uid="{00000000-0005-0000-0000-000042020000}"/>
    <cellStyle name="40% - Accent5 12" xfId="592" xr:uid="{00000000-0005-0000-0000-000043020000}"/>
    <cellStyle name="40% - Accent5 12 2" xfId="593" xr:uid="{00000000-0005-0000-0000-000044020000}"/>
    <cellStyle name="40% - Accent5 12 2 2" xfId="594" xr:uid="{00000000-0005-0000-0000-000045020000}"/>
    <cellStyle name="40% - Accent5 12 3" xfId="595" xr:uid="{00000000-0005-0000-0000-000046020000}"/>
    <cellStyle name="40% - Accent5 13" xfId="596" xr:uid="{00000000-0005-0000-0000-000047020000}"/>
    <cellStyle name="40% - Accent5 13 2" xfId="597" xr:uid="{00000000-0005-0000-0000-000048020000}"/>
    <cellStyle name="40% - Accent5 13 2 2" xfId="598" xr:uid="{00000000-0005-0000-0000-000049020000}"/>
    <cellStyle name="40% - Accent5 13 3" xfId="599" xr:uid="{00000000-0005-0000-0000-00004A020000}"/>
    <cellStyle name="40% - Accent5 14" xfId="600" xr:uid="{00000000-0005-0000-0000-00004B020000}"/>
    <cellStyle name="40% - Accent5 14 2" xfId="601" xr:uid="{00000000-0005-0000-0000-00004C020000}"/>
    <cellStyle name="40% - Accent5 14 2 2" xfId="602" xr:uid="{00000000-0005-0000-0000-00004D020000}"/>
    <cellStyle name="40% - Accent5 14 3" xfId="603" xr:uid="{00000000-0005-0000-0000-00004E020000}"/>
    <cellStyle name="40% - Accent5 15" xfId="604" xr:uid="{00000000-0005-0000-0000-00004F020000}"/>
    <cellStyle name="40% - Accent5 15 2" xfId="605" xr:uid="{00000000-0005-0000-0000-000050020000}"/>
    <cellStyle name="40% - Accent5 15 2 2" xfId="606" xr:uid="{00000000-0005-0000-0000-000051020000}"/>
    <cellStyle name="40% - Accent5 15 3" xfId="607" xr:uid="{00000000-0005-0000-0000-000052020000}"/>
    <cellStyle name="40% - Accent5 16" xfId="608" xr:uid="{00000000-0005-0000-0000-000053020000}"/>
    <cellStyle name="40% - Accent5 2" xfId="609" xr:uid="{00000000-0005-0000-0000-000054020000}"/>
    <cellStyle name="40% - Accent5 2 2" xfId="610" xr:uid="{00000000-0005-0000-0000-000055020000}"/>
    <cellStyle name="40% - Accent5 2 2 2" xfId="611" xr:uid="{00000000-0005-0000-0000-000056020000}"/>
    <cellStyle name="40% - Accent5 2 3" xfId="612" xr:uid="{00000000-0005-0000-0000-000057020000}"/>
    <cellStyle name="40% - Accent5 3" xfId="613" xr:uid="{00000000-0005-0000-0000-000058020000}"/>
    <cellStyle name="40% - Accent5 3 2" xfId="614" xr:uid="{00000000-0005-0000-0000-000059020000}"/>
    <cellStyle name="40% - Accent5 3 2 2" xfId="615" xr:uid="{00000000-0005-0000-0000-00005A020000}"/>
    <cellStyle name="40% - Accent5 3 3" xfId="616" xr:uid="{00000000-0005-0000-0000-00005B020000}"/>
    <cellStyle name="40% - Accent5 4" xfId="617" xr:uid="{00000000-0005-0000-0000-00005C020000}"/>
    <cellStyle name="40% - Accent5 4 2" xfId="618" xr:uid="{00000000-0005-0000-0000-00005D020000}"/>
    <cellStyle name="40% - Accent5 4 2 2" xfId="619" xr:uid="{00000000-0005-0000-0000-00005E020000}"/>
    <cellStyle name="40% - Accent5 4 3" xfId="620" xr:uid="{00000000-0005-0000-0000-00005F020000}"/>
    <cellStyle name="40% - Accent5 5" xfId="621" xr:uid="{00000000-0005-0000-0000-000060020000}"/>
    <cellStyle name="40% - Accent5 5 2" xfId="622" xr:uid="{00000000-0005-0000-0000-000061020000}"/>
    <cellStyle name="40% - Accent5 5 2 2" xfId="623" xr:uid="{00000000-0005-0000-0000-000062020000}"/>
    <cellStyle name="40% - Accent5 5 3" xfId="624" xr:uid="{00000000-0005-0000-0000-000063020000}"/>
    <cellStyle name="40% - Accent5 6" xfId="625" xr:uid="{00000000-0005-0000-0000-000064020000}"/>
    <cellStyle name="40% - Accent5 6 2" xfId="626" xr:uid="{00000000-0005-0000-0000-000065020000}"/>
    <cellStyle name="40% - Accent5 6 2 2" xfId="627" xr:uid="{00000000-0005-0000-0000-000066020000}"/>
    <cellStyle name="40% - Accent5 6 3" xfId="628" xr:uid="{00000000-0005-0000-0000-000067020000}"/>
    <cellStyle name="40% - Accent5 7" xfId="629" xr:uid="{00000000-0005-0000-0000-000068020000}"/>
    <cellStyle name="40% - Accent5 7 2" xfId="630" xr:uid="{00000000-0005-0000-0000-000069020000}"/>
    <cellStyle name="40% - Accent5 7 2 2" xfId="631" xr:uid="{00000000-0005-0000-0000-00006A020000}"/>
    <cellStyle name="40% - Accent5 7 3" xfId="632" xr:uid="{00000000-0005-0000-0000-00006B020000}"/>
    <cellStyle name="40% - Accent5 8" xfId="633" xr:uid="{00000000-0005-0000-0000-00006C020000}"/>
    <cellStyle name="40% - Accent5 8 2" xfId="634" xr:uid="{00000000-0005-0000-0000-00006D020000}"/>
    <cellStyle name="40% - Accent5 8 2 2" xfId="635" xr:uid="{00000000-0005-0000-0000-00006E020000}"/>
    <cellStyle name="40% - Accent5 8 3" xfId="636" xr:uid="{00000000-0005-0000-0000-00006F020000}"/>
    <cellStyle name="40% - Accent5 9" xfId="637" xr:uid="{00000000-0005-0000-0000-000070020000}"/>
    <cellStyle name="40% - Accent5 9 2" xfId="638" xr:uid="{00000000-0005-0000-0000-000071020000}"/>
    <cellStyle name="40% - Accent5 9 2 2" xfId="639" xr:uid="{00000000-0005-0000-0000-000072020000}"/>
    <cellStyle name="40% - Accent5 9 3" xfId="640" xr:uid="{00000000-0005-0000-0000-000073020000}"/>
    <cellStyle name="40% - Accent6 10" xfId="641" xr:uid="{00000000-0005-0000-0000-000074020000}"/>
    <cellStyle name="40% - Accent6 10 2" xfId="642" xr:uid="{00000000-0005-0000-0000-000075020000}"/>
    <cellStyle name="40% - Accent6 10 2 2" xfId="643" xr:uid="{00000000-0005-0000-0000-000076020000}"/>
    <cellStyle name="40% - Accent6 10 3" xfId="644" xr:uid="{00000000-0005-0000-0000-000077020000}"/>
    <cellStyle name="40% - Accent6 11" xfId="645" xr:uid="{00000000-0005-0000-0000-000078020000}"/>
    <cellStyle name="40% - Accent6 11 2" xfId="646" xr:uid="{00000000-0005-0000-0000-000079020000}"/>
    <cellStyle name="40% - Accent6 11 2 2" xfId="647" xr:uid="{00000000-0005-0000-0000-00007A020000}"/>
    <cellStyle name="40% - Accent6 11 3" xfId="648" xr:uid="{00000000-0005-0000-0000-00007B020000}"/>
    <cellStyle name="40% - Accent6 12" xfId="649" xr:uid="{00000000-0005-0000-0000-00007C020000}"/>
    <cellStyle name="40% - Accent6 12 2" xfId="650" xr:uid="{00000000-0005-0000-0000-00007D020000}"/>
    <cellStyle name="40% - Accent6 12 2 2" xfId="651" xr:uid="{00000000-0005-0000-0000-00007E020000}"/>
    <cellStyle name="40% - Accent6 12 3" xfId="652" xr:uid="{00000000-0005-0000-0000-00007F020000}"/>
    <cellStyle name="40% - Accent6 13" xfId="653" xr:uid="{00000000-0005-0000-0000-000080020000}"/>
    <cellStyle name="40% - Accent6 13 2" xfId="654" xr:uid="{00000000-0005-0000-0000-000081020000}"/>
    <cellStyle name="40% - Accent6 13 2 2" xfId="655" xr:uid="{00000000-0005-0000-0000-000082020000}"/>
    <cellStyle name="40% - Accent6 13 3" xfId="656" xr:uid="{00000000-0005-0000-0000-000083020000}"/>
    <cellStyle name="40% - Accent6 14" xfId="657" xr:uid="{00000000-0005-0000-0000-000084020000}"/>
    <cellStyle name="40% - Accent6 14 2" xfId="658" xr:uid="{00000000-0005-0000-0000-000085020000}"/>
    <cellStyle name="40% - Accent6 14 2 2" xfId="659" xr:uid="{00000000-0005-0000-0000-000086020000}"/>
    <cellStyle name="40% - Accent6 14 3" xfId="660" xr:uid="{00000000-0005-0000-0000-000087020000}"/>
    <cellStyle name="40% - Accent6 15" xfId="661" xr:uid="{00000000-0005-0000-0000-000088020000}"/>
    <cellStyle name="40% - Accent6 15 2" xfId="662" xr:uid="{00000000-0005-0000-0000-000089020000}"/>
    <cellStyle name="40% - Accent6 15 2 2" xfId="663" xr:uid="{00000000-0005-0000-0000-00008A020000}"/>
    <cellStyle name="40% - Accent6 15 3" xfId="664" xr:uid="{00000000-0005-0000-0000-00008B020000}"/>
    <cellStyle name="40% - Accent6 16" xfId="665" xr:uid="{00000000-0005-0000-0000-00008C020000}"/>
    <cellStyle name="40% - Accent6 2" xfId="666" xr:uid="{00000000-0005-0000-0000-00008D020000}"/>
    <cellStyle name="40% - Accent6 2 2" xfId="667" xr:uid="{00000000-0005-0000-0000-00008E020000}"/>
    <cellStyle name="40% - Accent6 2 2 2" xfId="668" xr:uid="{00000000-0005-0000-0000-00008F020000}"/>
    <cellStyle name="40% - Accent6 2 3" xfId="669" xr:uid="{00000000-0005-0000-0000-000090020000}"/>
    <cellStyle name="40% - Accent6 3" xfId="670" xr:uid="{00000000-0005-0000-0000-000091020000}"/>
    <cellStyle name="40% - Accent6 3 2" xfId="671" xr:uid="{00000000-0005-0000-0000-000092020000}"/>
    <cellStyle name="40% - Accent6 3 2 2" xfId="672" xr:uid="{00000000-0005-0000-0000-000093020000}"/>
    <cellStyle name="40% - Accent6 3 3" xfId="673" xr:uid="{00000000-0005-0000-0000-000094020000}"/>
    <cellStyle name="40% - Accent6 4" xfId="674" xr:uid="{00000000-0005-0000-0000-000095020000}"/>
    <cellStyle name="40% - Accent6 4 2" xfId="675" xr:uid="{00000000-0005-0000-0000-000096020000}"/>
    <cellStyle name="40% - Accent6 4 2 2" xfId="676" xr:uid="{00000000-0005-0000-0000-000097020000}"/>
    <cellStyle name="40% - Accent6 4 3" xfId="677" xr:uid="{00000000-0005-0000-0000-000098020000}"/>
    <cellStyle name="40% - Accent6 5" xfId="678" xr:uid="{00000000-0005-0000-0000-000099020000}"/>
    <cellStyle name="40% - Accent6 5 2" xfId="679" xr:uid="{00000000-0005-0000-0000-00009A020000}"/>
    <cellStyle name="40% - Accent6 5 2 2" xfId="680" xr:uid="{00000000-0005-0000-0000-00009B020000}"/>
    <cellStyle name="40% - Accent6 5 3" xfId="681" xr:uid="{00000000-0005-0000-0000-00009C020000}"/>
    <cellStyle name="40% - Accent6 6" xfId="682" xr:uid="{00000000-0005-0000-0000-00009D020000}"/>
    <cellStyle name="40% - Accent6 6 2" xfId="683" xr:uid="{00000000-0005-0000-0000-00009E020000}"/>
    <cellStyle name="40% - Accent6 6 2 2" xfId="684" xr:uid="{00000000-0005-0000-0000-00009F020000}"/>
    <cellStyle name="40% - Accent6 6 3" xfId="685" xr:uid="{00000000-0005-0000-0000-0000A0020000}"/>
    <cellStyle name="40% - Accent6 7" xfId="686" xr:uid="{00000000-0005-0000-0000-0000A1020000}"/>
    <cellStyle name="40% - Accent6 7 2" xfId="687" xr:uid="{00000000-0005-0000-0000-0000A2020000}"/>
    <cellStyle name="40% - Accent6 7 2 2" xfId="688" xr:uid="{00000000-0005-0000-0000-0000A3020000}"/>
    <cellStyle name="40% - Accent6 7 3" xfId="689" xr:uid="{00000000-0005-0000-0000-0000A4020000}"/>
    <cellStyle name="40% - Accent6 8" xfId="690" xr:uid="{00000000-0005-0000-0000-0000A5020000}"/>
    <cellStyle name="40% - Accent6 8 2" xfId="691" xr:uid="{00000000-0005-0000-0000-0000A6020000}"/>
    <cellStyle name="40% - Accent6 8 2 2" xfId="692" xr:uid="{00000000-0005-0000-0000-0000A7020000}"/>
    <cellStyle name="40% - Accent6 8 3" xfId="693" xr:uid="{00000000-0005-0000-0000-0000A8020000}"/>
    <cellStyle name="40% - Accent6 9" xfId="694" xr:uid="{00000000-0005-0000-0000-0000A9020000}"/>
    <cellStyle name="40% - Accent6 9 2" xfId="695" xr:uid="{00000000-0005-0000-0000-0000AA020000}"/>
    <cellStyle name="40% - Accent6 9 2 2" xfId="696" xr:uid="{00000000-0005-0000-0000-0000AB020000}"/>
    <cellStyle name="40% - Accent6 9 3" xfId="697" xr:uid="{00000000-0005-0000-0000-0000AC020000}"/>
    <cellStyle name="60% - Accent1 10" xfId="698" xr:uid="{00000000-0005-0000-0000-0000AD020000}"/>
    <cellStyle name="60% - Accent1 11" xfId="699" xr:uid="{00000000-0005-0000-0000-0000AE020000}"/>
    <cellStyle name="60% - Accent1 12" xfId="700" xr:uid="{00000000-0005-0000-0000-0000AF020000}"/>
    <cellStyle name="60% - Accent1 13" xfId="701" xr:uid="{00000000-0005-0000-0000-0000B0020000}"/>
    <cellStyle name="60% - Accent1 14" xfId="702" xr:uid="{00000000-0005-0000-0000-0000B1020000}"/>
    <cellStyle name="60% - Accent1 15" xfId="703" xr:uid="{00000000-0005-0000-0000-0000B2020000}"/>
    <cellStyle name="60% - Accent1 16" xfId="704" xr:uid="{00000000-0005-0000-0000-0000B3020000}"/>
    <cellStyle name="60% - Accent1 2" xfId="705" xr:uid="{00000000-0005-0000-0000-0000B4020000}"/>
    <cellStyle name="60% - Accent1 3" xfId="706" xr:uid="{00000000-0005-0000-0000-0000B5020000}"/>
    <cellStyle name="60% - Accent1 4" xfId="707" xr:uid="{00000000-0005-0000-0000-0000B6020000}"/>
    <cellStyle name="60% - Accent1 5" xfId="708" xr:uid="{00000000-0005-0000-0000-0000B7020000}"/>
    <cellStyle name="60% - Accent1 6" xfId="709" xr:uid="{00000000-0005-0000-0000-0000B8020000}"/>
    <cellStyle name="60% - Accent1 7" xfId="710" xr:uid="{00000000-0005-0000-0000-0000B9020000}"/>
    <cellStyle name="60% - Accent1 8" xfId="711" xr:uid="{00000000-0005-0000-0000-0000BA020000}"/>
    <cellStyle name="60% - Accent1 9" xfId="712" xr:uid="{00000000-0005-0000-0000-0000BB020000}"/>
    <cellStyle name="60% - Accent2 10" xfId="713" xr:uid="{00000000-0005-0000-0000-0000BC020000}"/>
    <cellStyle name="60% - Accent2 11" xfId="714" xr:uid="{00000000-0005-0000-0000-0000BD020000}"/>
    <cellStyle name="60% - Accent2 12" xfId="715" xr:uid="{00000000-0005-0000-0000-0000BE020000}"/>
    <cellStyle name="60% - Accent2 13" xfId="716" xr:uid="{00000000-0005-0000-0000-0000BF020000}"/>
    <cellStyle name="60% - Accent2 14" xfId="717" xr:uid="{00000000-0005-0000-0000-0000C0020000}"/>
    <cellStyle name="60% - Accent2 15" xfId="718" xr:uid="{00000000-0005-0000-0000-0000C1020000}"/>
    <cellStyle name="60% - Accent2 16" xfId="719" xr:uid="{00000000-0005-0000-0000-0000C2020000}"/>
    <cellStyle name="60% - Accent2 2" xfId="720" xr:uid="{00000000-0005-0000-0000-0000C3020000}"/>
    <cellStyle name="60% - Accent2 3" xfId="721" xr:uid="{00000000-0005-0000-0000-0000C4020000}"/>
    <cellStyle name="60% - Accent2 4" xfId="722" xr:uid="{00000000-0005-0000-0000-0000C5020000}"/>
    <cellStyle name="60% - Accent2 5" xfId="723" xr:uid="{00000000-0005-0000-0000-0000C6020000}"/>
    <cellStyle name="60% - Accent2 6" xfId="724" xr:uid="{00000000-0005-0000-0000-0000C7020000}"/>
    <cellStyle name="60% - Accent2 7" xfId="725" xr:uid="{00000000-0005-0000-0000-0000C8020000}"/>
    <cellStyle name="60% - Accent2 8" xfId="726" xr:uid="{00000000-0005-0000-0000-0000C9020000}"/>
    <cellStyle name="60% - Accent2 9" xfId="727" xr:uid="{00000000-0005-0000-0000-0000CA020000}"/>
    <cellStyle name="60% - Accent3 10" xfId="728" xr:uid="{00000000-0005-0000-0000-0000CB020000}"/>
    <cellStyle name="60% - Accent3 11" xfId="729" xr:uid="{00000000-0005-0000-0000-0000CC020000}"/>
    <cellStyle name="60% - Accent3 12" xfId="730" xr:uid="{00000000-0005-0000-0000-0000CD020000}"/>
    <cellStyle name="60% - Accent3 13" xfId="731" xr:uid="{00000000-0005-0000-0000-0000CE020000}"/>
    <cellStyle name="60% - Accent3 14" xfId="732" xr:uid="{00000000-0005-0000-0000-0000CF020000}"/>
    <cellStyle name="60% - Accent3 15" xfId="733" xr:uid="{00000000-0005-0000-0000-0000D0020000}"/>
    <cellStyle name="60% - Accent3 16" xfId="734" xr:uid="{00000000-0005-0000-0000-0000D1020000}"/>
    <cellStyle name="60% - Accent3 2" xfId="735" xr:uid="{00000000-0005-0000-0000-0000D2020000}"/>
    <cellStyle name="60% - Accent3 3" xfId="736" xr:uid="{00000000-0005-0000-0000-0000D3020000}"/>
    <cellStyle name="60% - Accent3 4" xfId="737" xr:uid="{00000000-0005-0000-0000-0000D4020000}"/>
    <cellStyle name="60% - Accent3 5" xfId="738" xr:uid="{00000000-0005-0000-0000-0000D5020000}"/>
    <cellStyle name="60% - Accent3 6" xfId="739" xr:uid="{00000000-0005-0000-0000-0000D6020000}"/>
    <cellStyle name="60% - Accent3 7" xfId="740" xr:uid="{00000000-0005-0000-0000-0000D7020000}"/>
    <cellStyle name="60% - Accent3 8" xfId="741" xr:uid="{00000000-0005-0000-0000-0000D8020000}"/>
    <cellStyle name="60% - Accent3 9" xfId="742" xr:uid="{00000000-0005-0000-0000-0000D9020000}"/>
    <cellStyle name="60% - Accent4 10" xfId="743" xr:uid="{00000000-0005-0000-0000-0000DA020000}"/>
    <cellStyle name="60% - Accent4 11" xfId="744" xr:uid="{00000000-0005-0000-0000-0000DB020000}"/>
    <cellStyle name="60% - Accent4 12" xfId="745" xr:uid="{00000000-0005-0000-0000-0000DC020000}"/>
    <cellStyle name="60% - Accent4 13" xfId="746" xr:uid="{00000000-0005-0000-0000-0000DD020000}"/>
    <cellStyle name="60% - Accent4 14" xfId="747" xr:uid="{00000000-0005-0000-0000-0000DE020000}"/>
    <cellStyle name="60% - Accent4 15" xfId="748" xr:uid="{00000000-0005-0000-0000-0000DF020000}"/>
    <cellStyle name="60% - Accent4 16" xfId="749" xr:uid="{00000000-0005-0000-0000-0000E0020000}"/>
    <cellStyle name="60% - Accent4 2" xfId="750" xr:uid="{00000000-0005-0000-0000-0000E1020000}"/>
    <cellStyle name="60% - Accent4 3" xfId="751" xr:uid="{00000000-0005-0000-0000-0000E2020000}"/>
    <cellStyle name="60% - Accent4 4" xfId="752" xr:uid="{00000000-0005-0000-0000-0000E3020000}"/>
    <cellStyle name="60% - Accent4 5" xfId="753" xr:uid="{00000000-0005-0000-0000-0000E4020000}"/>
    <cellStyle name="60% - Accent4 6" xfId="754" xr:uid="{00000000-0005-0000-0000-0000E5020000}"/>
    <cellStyle name="60% - Accent4 7" xfId="755" xr:uid="{00000000-0005-0000-0000-0000E6020000}"/>
    <cellStyle name="60% - Accent4 8" xfId="756" xr:uid="{00000000-0005-0000-0000-0000E7020000}"/>
    <cellStyle name="60% - Accent4 9" xfId="757" xr:uid="{00000000-0005-0000-0000-0000E8020000}"/>
    <cellStyle name="60% - Accent5 10" xfId="758" xr:uid="{00000000-0005-0000-0000-0000E9020000}"/>
    <cellStyle name="60% - Accent5 11" xfId="759" xr:uid="{00000000-0005-0000-0000-0000EA020000}"/>
    <cellStyle name="60% - Accent5 12" xfId="760" xr:uid="{00000000-0005-0000-0000-0000EB020000}"/>
    <cellStyle name="60% - Accent5 13" xfId="761" xr:uid="{00000000-0005-0000-0000-0000EC020000}"/>
    <cellStyle name="60% - Accent5 14" xfId="762" xr:uid="{00000000-0005-0000-0000-0000ED020000}"/>
    <cellStyle name="60% - Accent5 15" xfId="763" xr:uid="{00000000-0005-0000-0000-0000EE020000}"/>
    <cellStyle name="60% - Accent5 16" xfId="764" xr:uid="{00000000-0005-0000-0000-0000EF020000}"/>
    <cellStyle name="60% - Accent5 2" xfId="765" xr:uid="{00000000-0005-0000-0000-0000F0020000}"/>
    <cellStyle name="60% - Accent5 3" xfId="766" xr:uid="{00000000-0005-0000-0000-0000F1020000}"/>
    <cellStyle name="60% - Accent5 4" xfId="767" xr:uid="{00000000-0005-0000-0000-0000F2020000}"/>
    <cellStyle name="60% - Accent5 5" xfId="768" xr:uid="{00000000-0005-0000-0000-0000F3020000}"/>
    <cellStyle name="60% - Accent5 6" xfId="769" xr:uid="{00000000-0005-0000-0000-0000F4020000}"/>
    <cellStyle name="60% - Accent5 7" xfId="770" xr:uid="{00000000-0005-0000-0000-0000F5020000}"/>
    <cellStyle name="60% - Accent5 8" xfId="771" xr:uid="{00000000-0005-0000-0000-0000F6020000}"/>
    <cellStyle name="60% - Accent5 9" xfId="772" xr:uid="{00000000-0005-0000-0000-0000F7020000}"/>
    <cellStyle name="60% - Accent6 10" xfId="773" xr:uid="{00000000-0005-0000-0000-0000F8020000}"/>
    <cellStyle name="60% - Accent6 11" xfId="774" xr:uid="{00000000-0005-0000-0000-0000F9020000}"/>
    <cellStyle name="60% - Accent6 12" xfId="775" xr:uid="{00000000-0005-0000-0000-0000FA020000}"/>
    <cellStyle name="60% - Accent6 13" xfId="776" xr:uid="{00000000-0005-0000-0000-0000FB020000}"/>
    <cellStyle name="60% - Accent6 14" xfId="777" xr:uid="{00000000-0005-0000-0000-0000FC020000}"/>
    <cellStyle name="60% - Accent6 15" xfId="778" xr:uid="{00000000-0005-0000-0000-0000FD020000}"/>
    <cellStyle name="60% - Accent6 16" xfId="779" xr:uid="{00000000-0005-0000-0000-0000FE020000}"/>
    <cellStyle name="60% - Accent6 2" xfId="780" xr:uid="{00000000-0005-0000-0000-0000FF020000}"/>
    <cellStyle name="60% - Accent6 3" xfId="781" xr:uid="{00000000-0005-0000-0000-000000030000}"/>
    <cellStyle name="60% - Accent6 4" xfId="782" xr:uid="{00000000-0005-0000-0000-000001030000}"/>
    <cellStyle name="60% - Accent6 5" xfId="783" xr:uid="{00000000-0005-0000-0000-000002030000}"/>
    <cellStyle name="60% - Accent6 6" xfId="784" xr:uid="{00000000-0005-0000-0000-000003030000}"/>
    <cellStyle name="60% - Accent6 7" xfId="785" xr:uid="{00000000-0005-0000-0000-000004030000}"/>
    <cellStyle name="60% - Accent6 8" xfId="786" xr:uid="{00000000-0005-0000-0000-000005030000}"/>
    <cellStyle name="60% - Accent6 9" xfId="787" xr:uid="{00000000-0005-0000-0000-000006030000}"/>
    <cellStyle name="Accent1 10" xfId="788" xr:uid="{00000000-0005-0000-0000-000007030000}"/>
    <cellStyle name="Accent1 11" xfId="789" xr:uid="{00000000-0005-0000-0000-000008030000}"/>
    <cellStyle name="Accent1 12" xfId="790" xr:uid="{00000000-0005-0000-0000-000009030000}"/>
    <cellStyle name="Accent1 13" xfId="791" xr:uid="{00000000-0005-0000-0000-00000A030000}"/>
    <cellStyle name="Accent1 14" xfId="792" xr:uid="{00000000-0005-0000-0000-00000B030000}"/>
    <cellStyle name="Accent1 15" xfId="793" xr:uid="{00000000-0005-0000-0000-00000C030000}"/>
    <cellStyle name="Accent1 16" xfId="794" xr:uid="{00000000-0005-0000-0000-00000D030000}"/>
    <cellStyle name="Accent1 2" xfId="795" xr:uid="{00000000-0005-0000-0000-00000E030000}"/>
    <cellStyle name="Accent1 3" xfId="796" xr:uid="{00000000-0005-0000-0000-00000F030000}"/>
    <cellStyle name="Accent1 4" xfId="797" xr:uid="{00000000-0005-0000-0000-000010030000}"/>
    <cellStyle name="Accent1 5" xfId="798" xr:uid="{00000000-0005-0000-0000-000011030000}"/>
    <cellStyle name="Accent1 6" xfId="799" xr:uid="{00000000-0005-0000-0000-000012030000}"/>
    <cellStyle name="Accent1 7" xfId="800" xr:uid="{00000000-0005-0000-0000-000013030000}"/>
    <cellStyle name="Accent1 8" xfId="801" xr:uid="{00000000-0005-0000-0000-000014030000}"/>
    <cellStyle name="Accent1 9" xfId="802" xr:uid="{00000000-0005-0000-0000-000015030000}"/>
    <cellStyle name="Accent2 10" xfId="803" xr:uid="{00000000-0005-0000-0000-000016030000}"/>
    <cellStyle name="Accent2 11" xfId="804" xr:uid="{00000000-0005-0000-0000-000017030000}"/>
    <cellStyle name="Accent2 12" xfId="805" xr:uid="{00000000-0005-0000-0000-000018030000}"/>
    <cellStyle name="Accent2 13" xfId="806" xr:uid="{00000000-0005-0000-0000-000019030000}"/>
    <cellStyle name="Accent2 14" xfId="807" xr:uid="{00000000-0005-0000-0000-00001A030000}"/>
    <cellStyle name="Accent2 15" xfId="808" xr:uid="{00000000-0005-0000-0000-00001B030000}"/>
    <cellStyle name="Accent2 16" xfId="809" xr:uid="{00000000-0005-0000-0000-00001C030000}"/>
    <cellStyle name="Accent2 2" xfId="810" xr:uid="{00000000-0005-0000-0000-00001D030000}"/>
    <cellStyle name="Accent2 3" xfId="811" xr:uid="{00000000-0005-0000-0000-00001E030000}"/>
    <cellStyle name="Accent2 4" xfId="812" xr:uid="{00000000-0005-0000-0000-00001F030000}"/>
    <cellStyle name="Accent2 5" xfId="813" xr:uid="{00000000-0005-0000-0000-000020030000}"/>
    <cellStyle name="Accent2 6" xfId="814" xr:uid="{00000000-0005-0000-0000-000021030000}"/>
    <cellStyle name="Accent2 7" xfId="815" xr:uid="{00000000-0005-0000-0000-000022030000}"/>
    <cellStyle name="Accent2 8" xfId="816" xr:uid="{00000000-0005-0000-0000-000023030000}"/>
    <cellStyle name="Accent2 9" xfId="817" xr:uid="{00000000-0005-0000-0000-000024030000}"/>
    <cellStyle name="Accent3 10" xfId="818" xr:uid="{00000000-0005-0000-0000-000025030000}"/>
    <cellStyle name="Accent3 11" xfId="819" xr:uid="{00000000-0005-0000-0000-000026030000}"/>
    <cellStyle name="Accent3 12" xfId="820" xr:uid="{00000000-0005-0000-0000-000027030000}"/>
    <cellStyle name="Accent3 13" xfId="821" xr:uid="{00000000-0005-0000-0000-000028030000}"/>
    <cellStyle name="Accent3 14" xfId="822" xr:uid="{00000000-0005-0000-0000-000029030000}"/>
    <cellStyle name="Accent3 15" xfId="823" xr:uid="{00000000-0005-0000-0000-00002A030000}"/>
    <cellStyle name="Accent3 16" xfId="824" xr:uid="{00000000-0005-0000-0000-00002B030000}"/>
    <cellStyle name="Accent3 2" xfId="825" xr:uid="{00000000-0005-0000-0000-00002C030000}"/>
    <cellStyle name="Accent3 3" xfId="826" xr:uid="{00000000-0005-0000-0000-00002D030000}"/>
    <cellStyle name="Accent3 4" xfId="827" xr:uid="{00000000-0005-0000-0000-00002E030000}"/>
    <cellStyle name="Accent3 5" xfId="828" xr:uid="{00000000-0005-0000-0000-00002F030000}"/>
    <cellStyle name="Accent3 6" xfId="829" xr:uid="{00000000-0005-0000-0000-000030030000}"/>
    <cellStyle name="Accent3 7" xfId="830" xr:uid="{00000000-0005-0000-0000-000031030000}"/>
    <cellStyle name="Accent3 8" xfId="831" xr:uid="{00000000-0005-0000-0000-000032030000}"/>
    <cellStyle name="Accent3 9" xfId="832" xr:uid="{00000000-0005-0000-0000-000033030000}"/>
    <cellStyle name="Accent4 10" xfId="833" xr:uid="{00000000-0005-0000-0000-000034030000}"/>
    <cellStyle name="Accent4 11" xfId="834" xr:uid="{00000000-0005-0000-0000-000035030000}"/>
    <cellStyle name="Accent4 12" xfId="835" xr:uid="{00000000-0005-0000-0000-000036030000}"/>
    <cellStyle name="Accent4 13" xfId="836" xr:uid="{00000000-0005-0000-0000-000037030000}"/>
    <cellStyle name="Accent4 14" xfId="837" xr:uid="{00000000-0005-0000-0000-000038030000}"/>
    <cellStyle name="Accent4 15" xfId="838" xr:uid="{00000000-0005-0000-0000-000039030000}"/>
    <cellStyle name="Accent4 16" xfId="839" xr:uid="{00000000-0005-0000-0000-00003A030000}"/>
    <cellStyle name="Accent4 2" xfId="840" xr:uid="{00000000-0005-0000-0000-00003B030000}"/>
    <cellStyle name="Accent4 3" xfId="841" xr:uid="{00000000-0005-0000-0000-00003C030000}"/>
    <cellStyle name="Accent4 4" xfId="842" xr:uid="{00000000-0005-0000-0000-00003D030000}"/>
    <cellStyle name="Accent4 5" xfId="843" xr:uid="{00000000-0005-0000-0000-00003E030000}"/>
    <cellStyle name="Accent4 6" xfId="844" xr:uid="{00000000-0005-0000-0000-00003F030000}"/>
    <cellStyle name="Accent4 7" xfId="845" xr:uid="{00000000-0005-0000-0000-000040030000}"/>
    <cellStyle name="Accent4 8" xfId="846" xr:uid="{00000000-0005-0000-0000-000041030000}"/>
    <cellStyle name="Accent4 9" xfId="847" xr:uid="{00000000-0005-0000-0000-000042030000}"/>
    <cellStyle name="Accent5 10" xfId="848" xr:uid="{00000000-0005-0000-0000-000043030000}"/>
    <cellStyle name="Accent5 11" xfId="849" xr:uid="{00000000-0005-0000-0000-000044030000}"/>
    <cellStyle name="Accent5 12" xfId="850" xr:uid="{00000000-0005-0000-0000-000045030000}"/>
    <cellStyle name="Accent5 13" xfId="851" xr:uid="{00000000-0005-0000-0000-000046030000}"/>
    <cellStyle name="Accent5 14" xfId="852" xr:uid="{00000000-0005-0000-0000-000047030000}"/>
    <cellStyle name="Accent5 15" xfId="853" xr:uid="{00000000-0005-0000-0000-000048030000}"/>
    <cellStyle name="Accent5 16" xfId="854" xr:uid="{00000000-0005-0000-0000-000049030000}"/>
    <cellStyle name="Accent5 2" xfId="855" xr:uid="{00000000-0005-0000-0000-00004A030000}"/>
    <cellStyle name="Accent5 3" xfId="856" xr:uid="{00000000-0005-0000-0000-00004B030000}"/>
    <cellStyle name="Accent5 4" xfId="857" xr:uid="{00000000-0005-0000-0000-00004C030000}"/>
    <cellStyle name="Accent5 5" xfId="858" xr:uid="{00000000-0005-0000-0000-00004D030000}"/>
    <cellStyle name="Accent5 6" xfId="859" xr:uid="{00000000-0005-0000-0000-00004E030000}"/>
    <cellStyle name="Accent5 7" xfId="860" xr:uid="{00000000-0005-0000-0000-00004F030000}"/>
    <cellStyle name="Accent5 8" xfId="861" xr:uid="{00000000-0005-0000-0000-000050030000}"/>
    <cellStyle name="Accent5 9" xfId="862" xr:uid="{00000000-0005-0000-0000-000051030000}"/>
    <cellStyle name="Accent6 10" xfId="863" xr:uid="{00000000-0005-0000-0000-000052030000}"/>
    <cellStyle name="Accent6 11" xfId="864" xr:uid="{00000000-0005-0000-0000-000053030000}"/>
    <cellStyle name="Accent6 12" xfId="865" xr:uid="{00000000-0005-0000-0000-000054030000}"/>
    <cellStyle name="Accent6 13" xfId="866" xr:uid="{00000000-0005-0000-0000-000055030000}"/>
    <cellStyle name="Accent6 14" xfId="867" xr:uid="{00000000-0005-0000-0000-000056030000}"/>
    <cellStyle name="Accent6 15" xfId="868" xr:uid="{00000000-0005-0000-0000-000057030000}"/>
    <cellStyle name="Accent6 16" xfId="869" xr:uid="{00000000-0005-0000-0000-000058030000}"/>
    <cellStyle name="Accent6 2" xfId="870" xr:uid="{00000000-0005-0000-0000-000059030000}"/>
    <cellStyle name="Accent6 3" xfId="871" xr:uid="{00000000-0005-0000-0000-00005A030000}"/>
    <cellStyle name="Accent6 4" xfId="872" xr:uid="{00000000-0005-0000-0000-00005B030000}"/>
    <cellStyle name="Accent6 5" xfId="873" xr:uid="{00000000-0005-0000-0000-00005C030000}"/>
    <cellStyle name="Accent6 6" xfId="874" xr:uid="{00000000-0005-0000-0000-00005D030000}"/>
    <cellStyle name="Accent6 7" xfId="875" xr:uid="{00000000-0005-0000-0000-00005E030000}"/>
    <cellStyle name="Accent6 8" xfId="876" xr:uid="{00000000-0005-0000-0000-00005F030000}"/>
    <cellStyle name="Accent6 9" xfId="877" xr:uid="{00000000-0005-0000-0000-000060030000}"/>
    <cellStyle name="Bad 10" xfId="878" xr:uid="{00000000-0005-0000-0000-000061030000}"/>
    <cellStyle name="Bad 11" xfId="879" xr:uid="{00000000-0005-0000-0000-000062030000}"/>
    <cellStyle name="Bad 12" xfId="880" xr:uid="{00000000-0005-0000-0000-000063030000}"/>
    <cellStyle name="Bad 13" xfId="881" xr:uid="{00000000-0005-0000-0000-000064030000}"/>
    <cellStyle name="Bad 14" xfId="882" xr:uid="{00000000-0005-0000-0000-000065030000}"/>
    <cellStyle name="Bad 15" xfId="883" xr:uid="{00000000-0005-0000-0000-000066030000}"/>
    <cellStyle name="Bad 16" xfId="884" xr:uid="{00000000-0005-0000-0000-000067030000}"/>
    <cellStyle name="Bad 2" xfId="885" xr:uid="{00000000-0005-0000-0000-000068030000}"/>
    <cellStyle name="Bad 3" xfId="886" xr:uid="{00000000-0005-0000-0000-000069030000}"/>
    <cellStyle name="Bad 4" xfId="887" xr:uid="{00000000-0005-0000-0000-00006A030000}"/>
    <cellStyle name="Bad 5" xfId="888" xr:uid="{00000000-0005-0000-0000-00006B030000}"/>
    <cellStyle name="Bad 6" xfId="889" xr:uid="{00000000-0005-0000-0000-00006C030000}"/>
    <cellStyle name="Bad 7" xfId="890" xr:uid="{00000000-0005-0000-0000-00006D030000}"/>
    <cellStyle name="Bad 8" xfId="891" xr:uid="{00000000-0005-0000-0000-00006E030000}"/>
    <cellStyle name="Bad 9" xfId="892" xr:uid="{00000000-0005-0000-0000-00006F030000}"/>
    <cellStyle name="Calculation 10" xfId="893" xr:uid="{00000000-0005-0000-0000-000070030000}"/>
    <cellStyle name="Calculation 11" xfId="894" xr:uid="{00000000-0005-0000-0000-000071030000}"/>
    <cellStyle name="Calculation 12" xfId="895" xr:uid="{00000000-0005-0000-0000-000072030000}"/>
    <cellStyle name="Calculation 13" xfId="896" xr:uid="{00000000-0005-0000-0000-000073030000}"/>
    <cellStyle name="Calculation 14" xfId="897" xr:uid="{00000000-0005-0000-0000-000074030000}"/>
    <cellStyle name="Calculation 15" xfId="898" xr:uid="{00000000-0005-0000-0000-000075030000}"/>
    <cellStyle name="Calculation 16" xfId="899" xr:uid="{00000000-0005-0000-0000-000076030000}"/>
    <cellStyle name="Calculation 2" xfId="900" xr:uid="{00000000-0005-0000-0000-000077030000}"/>
    <cellStyle name="Calculation 3" xfId="901" xr:uid="{00000000-0005-0000-0000-000078030000}"/>
    <cellStyle name="Calculation 4" xfId="902" xr:uid="{00000000-0005-0000-0000-000079030000}"/>
    <cellStyle name="Calculation 5" xfId="903" xr:uid="{00000000-0005-0000-0000-00007A030000}"/>
    <cellStyle name="Calculation 6" xfId="904" xr:uid="{00000000-0005-0000-0000-00007B030000}"/>
    <cellStyle name="Calculation 7" xfId="905" xr:uid="{00000000-0005-0000-0000-00007C030000}"/>
    <cellStyle name="Calculation 8" xfId="906" xr:uid="{00000000-0005-0000-0000-00007D030000}"/>
    <cellStyle name="Calculation 9" xfId="907" xr:uid="{00000000-0005-0000-0000-00007E030000}"/>
    <cellStyle name="Check Cell 10" xfId="908" xr:uid="{00000000-0005-0000-0000-00007F030000}"/>
    <cellStyle name="Check Cell 11" xfId="909" xr:uid="{00000000-0005-0000-0000-000080030000}"/>
    <cellStyle name="Check Cell 12" xfId="910" xr:uid="{00000000-0005-0000-0000-000081030000}"/>
    <cellStyle name="Check Cell 13" xfId="911" xr:uid="{00000000-0005-0000-0000-000082030000}"/>
    <cellStyle name="Check Cell 14" xfId="912" xr:uid="{00000000-0005-0000-0000-000083030000}"/>
    <cellStyle name="Check Cell 15" xfId="913" xr:uid="{00000000-0005-0000-0000-000084030000}"/>
    <cellStyle name="Check Cell 16" xfId="914" xr:uid="{00000000-0005-0000-0000-000085030000}"/>
    <cellStyle name="Check Cell 2" xfId="915" xr:uid="{00000000-0005-0000-0000-000086030000}"/>
    <cellStyle name="Check Cell 3" xfId="916" xr:uid="{00000000-0005-0000-0000-000087030000}"/>
    <cellStyle name="Check Cell 4" xfId="917" xr:uid="{00000000-0005-0000-0000-000088030000}"/>
    <cellStyle name="Check Cell 5" xfId="918" xr:uid="{00000000-0005-0000-0000-000089030000}"/>
    <cellStyle name="Check Cell 6" xfId="919" xr:uid="{00000000-0005-0000-0000-00008A030000}"/>
    <cellStyle name="Check Cell 7" xfId="920" xr:uid="{00000000-0005-0000-0000-00008B030000}"/>
    <cellStyle name="Check Cell 8" xfId="921" xr:uid="{00000000-0005-0000-0000-00008C030000}"/>
    <cellStyle name="Check Cell 9" xfId="922" xr:uid="{00000000-0005-0000-0000-00008D030000}"/>
    <cellStyle name="Comma [0] 2" xfId="923" xr:uid="{00000000-0005-0000-0000-00008E030000}"/>
    <cellStyle name="Comma [0] 2 2" xfId="1473" xr:uid="{7907EFC0-828F-43C5-A68F-04ADBA3498E4}"/>
    <cellStyle name="Comma 2" xfId="924" xr:uid="{00000000-0005-0000-0000-00008F030000}"/>
    <cellStyle name="Comma 2 2" xfId="925" xr:uid="{00000000-0005-0000-0000-000090030000}"/>
    <cellStyle name="Comma 2 3" xfId="926" xr:uid="{00000000-0005-0000-0000-000091030000}"/>
    <cellStyle name="Comma 2 4" xfId="927" xr:uid="{00000000-0005-0000-0000-000092030000}"/>
    <cellStyle name="Comma 2 4 2" xfId="928" xr:uid="{00000000-0005-0000-0000-000093030000}"/>
    <cellStyle name="Comma 2 5" xfId="929" xr:uid="{00000000-0005-0000-0000-000094030000}"/>
    <cellStyle name="Comma 2 5 2" xfId="930" xr:uid="{00000000-0005-0000-0000-000095030000}"/>
    <cellStyle name="Comma 2 6" xfId="931" xr:uid="{00000000-0005-0000-0000-000096030000}"/>
    <cellStyle name="Comma 2 7" xfId="932" xr:uid="{00000000-0005-0000-0000-000097030000}"/>
    <cellStyle name="Comma 3" xfId="933" xr:uid="{00000000-0005-0000-0000-000098030000}"/>
    <cellStyle name="Comma 3 2" xfId="934" xr:uid="{00000000-0005-0000-0000-000099030000}"/>
    <cellStyle name="Comma 3 2 2" xfId="1475" xr:uid="{2C9F5BE4-2ECE-4C60-A6D1-6F3DDD74C398}"/>
    <cellStyle name="Comma 3 3" xfId="1474" xr:uid="{9C066659-54AD-4A10-A54B-CDB9050792D3}"/>
    <cellStyle name="Comma 4" xfId="9" xr:uid="{00000000-0005-0000-0000-00009A030000}"/>
    <cellStyle name="Comma 4 2" xfId="936" xr:uid="{00000000-0005-0000-0000-00009B030000}"/>
    <cellStyle name="Comma 4 2 2" xfId="1477" xr:uid="{16F01445-7CC5-475D-B84B-200561307486}"/>
    <cellStyle name="Comma 4 3" xfId="935" xr:uid="{00000000-0005-0000-0000-00009C030000}"/>
    <cellStyle name="Comma 4 3 2" xfId="1476" xr:uid="{0BCD7A87-406F-4A4C-B341-4A5837CFD083}"/>
    <cellStyle name="Comma 4 4" xfId="1472" xr:uid="{0D76DE59-C2F6-41CC-9667-D66161F1100A}"/>
    <cellStyle name="Comma 5" xfId="1465" xr:uid="{00000000-0005-0000-0000-00009D030000}"/>
    <cellStyle name="Comma 5 2" xfId="1489" xr:uid="{8AB963B3-0093-42E0-B3BA-AA8D3D05A4B4}"/>
    <cellStyle name="Comma 6" xfId="1459" xr:uid="{00000000-0005-0000-0000-00009E030000}"/>
    <cellStyle name="Comma 6 2" xfId="1484" xr:uid="{47EFAAAD-66E4-4495-8B35-FFC25F47E06E}"/>
    <cellStyle name="Currency 2" xfId="1464" xr:uid="{00000000-0005-0000-0000-00009F030000}"/>
    <cellStyle name="Currency 2 2" xfId="1488" xr:uid="{3CB7FFB7-1F04-4D9A-96B3-66AF1DC391EF}"/>
    <cellStyle name="Currency 3" xfId="1463" xr:uid="{00000000-0005-0000-0000-0000A0030000}"/>
    <cellStyle name="Currency 3 2" xfId="1487" xr:uid="{CF78EF40-08CF-4383-9397-AE11328F8A15}"/>
    <cellStyle name="Currency 4" xfId="1460" xr:uid="{00000000-0005-0000-0000-0000A1030000}"/>
    <cellStyle name="Explanatory Text 10" xfId="937" xr:uid="{00000000-0005-0000-0000-0000A2030000}"/>
    <cellStyle name="Explanatory Text 11" xfId="938" xr:uid="{00000000-0005-0000-0000-0000A3030000}"/>
    <cellStyle name="Explanatory Text 12" xfId="939" xr:uid="{00000000-0005-0000-0000-0000A4030000}"/>
    <cellStyle name="Explanatory Text 13" xfId="940" xr:uid="{00000000-0005-0000-0000-0000A5030000}"/>
    <cellStyle name="Explanatory Text 14" xfId="941" xr:uid="{00000000-0005-0000-0000-0000A6030000}"/>
    <cellStyle name="Explanatory Text 15" xfId="942" xr:uid="{00000000-0005-0000-0000-0000A7030000}"/>
    <cellStyle name="Explanatory Text 16" xfId="943" xr:uid="{00000000-0005-0000-0000-0000A8030000}"/>
    <cellStyle name="Explanatory Text 2" xfId="944" xr:uid="{00000000-0005-0000-0000-0000A9030000}"/>
    <cellStyle name="Explanatory Text 3" xfId="945" xr:uid="{00000000-0005-0000-0000-0000AA030000}"/>
    <cellStyle name="Explanatory Text 4" xfId="946" xr:uid="{00000000-0005-0000-0000-0000AB030000}"/>
    <cellStyle name="Explanatory Text 5" xfId="947" xr:uid="{00000000-0005-0000-0000-0000AC030000}"/>
    <cellStyle name="Explanatory Text 6" xfId="948" xr:uid="{00000000-0005-0000-0000-0000AD030000}"/>
    <cellStyle name="Explanatory Text 7" xfId="949" xr:uid="{00000000-0005-0000-0000-0000AE030000}"/>
    <cellStyle name="Explanatory Text 8" xfId="950" xr:uid="{00000000-0005-0000-0000-0000AF030000}"/>
    <cellStyle name="Explanatory Text 9" xfId="951" xr:uid="{00000000-0005-0000-0000-0000B0030000}"/>
    <cellStyle name="Good 10" xfId="952" xr:uid="{00000000-0005-0000-0000-0000B1030000}"/>
    <cellStyle name="Good 11" xfId="953" xr:uid="{00000000-0005-0000-0000-0000B2030000}"/>
    <cellStyle name="Good 12" xfId="954" xr:uid="{00000000-0005-0000-0000-0000B3030000}"/>
    <cellStyle name="Good 13" xfId="955" xr:uid="{00000000-0005-0000-0000-0000B4030000}"/>
    <cellStyle name="Good 14" xfId="956" xr:uid="{00000000-0005-0000-0000-0000B5030000}"/>
    <cellStyle name="Good 15" xfId="957" xr:uid="{00000000-0005-0000-0000-0000B6030000}"/>
    <cellStyle name="Good 16" xfId="958" xr:uid="{00000000-0005-0000-0000-0000B7030000}"/>
    <cellStyle name="Good 2" xfId="959" xr:uid="{00000000-0005-0000-0000-0000B8030000}"/>
    <cellStyle name="Good 3" xfId="960" xr:uid="{00000000-0005-0000-0000-0000B9030000}"/>
    <cellStyle name="Good 4" xfId="961" xr:uid="{00000000-0005-0000-0000-0000BA030000}"/>
    <cellStyle name="Good 5" xfId="962" xr:uid="{00000000-0005-0000-0000-0000BB030000}"/>
    <cellStyle name="Good 6" xfId="963" xr:uid="{00000000-0005-0000-0000-0000BC030000}"/>
    <cellStyle name="Good 7" xfId="964" xr:uid="{00000000-0005-0000-0000-0000BD030000}"/>
    <cellStyle name="Good 8" xfId="965" xr:uid="{00000000-0005-0000-0000-0000BE030000}"/>
    <cellStyle name="Good 9" xfId="966" xr:uid="{00000000-0005-0000-0000-0000BF030000}"/>
    <cellStyle name="Heading 1 10" xfId="967" xr:uid="{00000000-0005-0000-0000-0000C0030000}"/>
    <cellStyle name="Heading 1 11" xfId="968" xr:uid="{00000000-0005-0000-0000-0000C1030000}"/>
    <cellStyle name="Heading 1 12" xfId="969" xr:uid="{00000000-0005-0000-0000-0000C2030000}"/>
    <cellStyle name="Heading 1 13" xfId="970" xr:uid="{00000000-0005-0000-0000-0000C3030000}"/>
    <cellStyle name="Heading 1 14" xfId="971" xr:uid="{00000000-0005-0000-0000-0000C4030000}"/>
    <cellStyle name="Heading 1 15" xfId="972" xr:uid="{00000000-0005-0000-0000-0000C5030000}"/>
    <cellStyle name="Heading 1 16" xfId="973" xr:uid="{00000000-0005-0000-0000-0000C6030000}"/>
    <cellStyle name="Heading 1 2" xfId="974" xr:uid="{00000000-0005-0000-0000-0000C7030000}"/>
    <cellStyle name="Heading 1 3" xfId="975" xr:uid="{00000000-0005-0000-0000-0000C8030000}"/>
    <cellStyle name="Heading 1 4" xfId="976" xr:uid="{00000000-0005-0000-0000-0000C9030000}"/>
    <cellStyle name="Heading 1 5" xfId="977" xr:uid="{00000000-0005-0000-0000-0000CA030000}"/>
    <cellStyle name="Heading 1 6" xfId="978" xr:uid="{00000000-0005-0000-0000-0000CB030000}"/>
    <cellStyle name="Heading 1 7" xfId="979" xr:uid="{00000000-0005-0000-0000-0000CC030000}"/>
    <cellStyle name="Heading 1 8" xfId="980" xr:uid="{00000000-0005-0000-0000-0000CD030000}"/>
    <cellStyle name="Heading 1 9" xfId="981" xr:uid="{00000000-0005-0000-0000-0000CE030000}"/>
    <cellStyle name="Heading 2 10" xfId="982" xr:uid="{00000000-0005-0000-0000-0000CF030000}"/>
    <cellStyle name="Heading 2 11" xfId="983" xr:uid="{00000000-0005-0000-0000-0000D0030000}"/>
    <cellStyle name="Heading 2 12" xfId="984" xr:uid="{00000000-0005-0000-0000-0000D1030000}"/>
    <cellStyle name="Heading 2 13" xfId="985" xr:uid="{00000000-0005-0000-0000-0000D2030000}"/>
    <cellStyle name="Heading 2 14" xfId="986" xr:uid="{00000000-0005-0000-0000-0000D3030000}"/>
    <cellStyle name="Heading 2 15" xfId="987" xr:uid="{00000000-0005-0000-0000-0000D4030000}"/>
    <cellStyle name="Heading 2 16" xfId="988" xr:uid="{00000000-0005-0000-0000-0000D5030000}"/>
    <cellStyle name="Heading 2 2" xfId="989" xr:uid="{00000000-0005-0000-0000-0000D6030000}"/>
    <cellStyle name="Heading 2 3" xfId="990" xr:uid="{00000000-0005-0000-0000-0000D7030000}"/>
    <cellStyle name="Heading 2 4" xfId="991" xr:uid="{00000000-0005-0000-0000-0000D8030000}"/>
    <cellStyle name="Heading 2 5" xfId="992" xr:uid="{00000000-0005-0000-0000-0000D9030000}"/>
    <cellStyle name="Heading 2 6" xfId="993" xr:uid="{00000000-0005-0000-0000-0000DA030000}"/>
    <cellStyle name="Heading 2 7" xfId="994" xr:uid="{00000000-0005-0000-0000-0000DB030000}"/>
    <cellStyle name="Heading 2 8" xfId="995" xr:uid="{00000000-0005-0000-0000-0000DC030000}"/>
    <cellStyle name="Heading 2 9" xfId="996" xr:uid="{00000000-0005-0000-0000-0000DD030000}"/>
    <cellStyle name="Heading 3 10" xfId="997" xr:uid="{00000000-0005-0000-0000-0000DE030000}"/>
    <cellStyle name="Heading 3 11" xfId="998" xr:uid="{00000000-0005-0000-0000-0000DF030000}"/>
    <cellStyle name="Heading 3 12" xfId="999" xr:uid="{00000000-0005-0000-0000-0000E0030000}"/>
    <cellStyle name="Heading 3 13" xfId="1000" xr:uid="{00000000-0005-0000-0000-0000E1030000}"/>
    <cellStyle name="Heading 3 14" xfId="1001" xr:uid="{00000000-0005-0000-0000-0000E2030000}"/>
    <cellStyle name="Heading 3 15" xfId="1002" xr:uid="{00000000-0005-0000-0000-0000E3030000}"/>
    <cellStyle name="Heading 3 16" xfId="1003" xr:uid="{00000000-0005-0000-0000-0000E4030000}"/>
    <cellStyle name="Heading 3 2" xfId="1004" xr:uid="{00000000-0005-0000-0000-0000E5030000}"/>
    <cellStyle name="Heading 3 3" xfId="1005" xr:uid="{00000000-0005-0000-0000-0000E6030000}"/>
    <cellStyle name="Heading 3 4" xfId="1006" xr:uid="{00000000-0005-0000-0000-0000E7030000}"/>
    <cellStyle name="Heading 3 5" xfId="1007" xr:uid="{00000000-0005-0000-0000-0000E8030000}"/>
    <cellStyle name="Heading 3 6" xfId="1008" xr:uid="{00000000-0005-0000-0000-0000E9030000}"/>
    <cellStyle name="Heading 3 7" xfId="1009" xr:uid="{00000000-0005-0000-0000-0000EA030000}"/>
    <cellStyle name="Heading 3 8" xfId="1010" xr:uid="{00000000-0005-0000-0000-0000EB030000}"/>
    <cellStyle name="Heading 3 9" xfId="1011" xr:uid="{00000000-0005-0000-0000-0000EC030000}"/>
    <cellStyle name="Heading 4 10" xfId="1012" xr:uid="{00000000-0005-0000-0000-0000ED030000}"/>
    <cellStyle name="Heading 4 11" xfId="1013" xr:uid="{00000000-0005-0000-0000-0000EE030000}"/>
    <cellStyle name="Heading 4 12" xfId="1014" xr:uid="{00000000-0005-0000-0000-0000EF030000}"/>
    <cellStyle name="Heading 4 13" xfId="1015" xr:uid="{00000000-0005-0000-0000-0000F0030000}"/>
    <cellStyle name="Heading 4 14" xfId="1016" xr:uid="{00000000-0005-0000-0000-0000F1030000}"/>
    <cellStyle name="Heading 4 15" xfId="1017" xr:uid="{00000000-0005-0000-0000-0000F2030000}"/>
    <cellStyle name="Heading 4 16" xfId="1018" xr:uid="{00000000-0005-0000-0000-0000F3030000}"/>
    <cellStyle name="Heading 4 2" xfId="1019" xr:uid="{00000000-0005-0000-0000-0000F4030000}"/>
    <cellStyle name="Heading 4 3" xfId="1020" xr:uid="{00000000-0005-0000-0000-0000F5030000}"/>
    <cellStyle name="Heading 4 4" xfId="1021" xr:uid="{00000000-0005-0000-0000-0000F6030000}"/>
    <cellStyle name="Heading 4 5" xfId="1022" xr:uid="{00000000-0005-0000-0000-0000F7030000}"/>
    <cellStyle name="Heading 4 6" xfId="1023" xr:uid="{00000000-0005-0000-0000-0000F8030000}"/>
    <cellStyle name="Heading 4 7" xfId="1024" xr:uid="{00000000-0005-0000-0000-0000F9030000}"/>
    <cellStyle name="Heading 4 8" xfId="1025" xr:uid="{00000000-0005-0000-0000-0000FA030000}"/>
    <cellStyle name="Heading 4 9" xfId="1026" xr:uid="{00000000-0005-0000-0000-0000FB030000}"/>
    <cellStyle name="Hyperlink 2" xfId="1027" xr:uid="{00000000-0005-0000-0000-0000FC030000}"/>
    <cellStyle name="Hyperlink 3" xfId="1028" xr:uid="{00000000-0005-0000-0000-0000FD030000}"/>
    <cellStyle name="Input 10" xfId="1029" xr:uid="{00000000-0005-0000-0000-0000FE030000}"/>
    <cellStyle name="Input 11" xfId="1030" xr:uid="{00000000-0005-0000-0000-0000FF030000}"/>
    <cellStyle name="Input 12" xfId="1031" xr:uid="{00000000-0005-0000-0000-000000040000}"/>
    <cellStyle name="Input 13" xfId="1032" xr:uid="{00000000-0005-0000-0000-000001040000}"/>
    <cellStyle name="Input 14" xfId="1033" xr:uid="{00000000-0005-0000-0000-000002040000}"/>
    <cellStyle name="Input 15" xfId="1034" xr:uid="{00000000-0005-0000-0000-000003040000}"/>
    <cellStyle name="Input 16" xfId="1035" xr:uid="{00000000-0005-0000-0000-000004040000}"/>
    <cellStyle name="Input 2" xfId="1036" xr:uid="{00000000-0005-0000-0000-000005040000}"/>
    <cellStyle name="Input 3" xfId="1037" xr:uid="{00000000-0005-0000-0000-000006040000}"/>
    <cellStyle name="Input 4" xfId="1038" xr:uid="{00000000-0005-0000-0000-000007040000}"/>
    <cellStyle name="Input 5" xfId="1039" xr:uid="{00000000-0005-0000-0000-000008040000}"/>
    <cellStyle name="Input 6" xfId="1040" xr:uid="{00000000-0005-0000-0000-000009040000}"/>
    <cellStyle name="Input 7" xfId="1041" xr:uid="{00000000-0005-0000-0000-00000A040000}"/>
    <cellStyle name="Input 8" xfId="1042" xr:uid="{00000000-0005-0000-0000-00000B040000}"/>
    <cellStyle name="Input 9" xfId="1043" xr:uid="{00000000-0005-0000-0000-00000C040000}"/>
    <cellStyle name="Linked Cell 10" xfId="1044" xr:uid="{00000000-0005-0000-0000-00000D040000}"/>
    <cellStyle name="Linked Cell 11" xfId="1045" xr:uid="{00000000-0005-0000-0000-00000E040000}"/>
    <cellStyle name="Linked Cell 12" xfId="1046" xr:uid="{00000000-0005-0000-0000-00000F040000}"/>
    <cellStyle name="Linked Cell 13" xfId="1047" xr:uid="{00000000-0005-0000-0000-000010040000}"/>
    <cellStyle name="Linked Cell 14" xfId="1048" xr:uid="{00000000-0005-0000-0000-000011040000}"/>
    <cellStyle name="Linked Cell 15" xfId="1049" xr:uid="{00000000-0005-0000-0000-000012040000}"/>
    <cellStyle name="Linked Cell 16" xfId="1050" xr:uid="{00000000-0005-0000-0000-000013040000}"/>
    <cellStyle name="Linked Cell 2" xfId="1051" xr:uid="{00000000-0005-0000-0000-000014040000}"/>
    <cellStyle name="Linked Cell 3" xfId="1052" xr:uid="{00000000-0005-0000-0000-000015040000}"/>
    <cellStyle name="Linked Cell 4" xfId="1053" xr:uid="{00000000-0005-0000-0000-000016040000}"/>
    <cellStyle name="Linked Cell 5" xfId="1054" xr:uid="{00000000-0005-0000-0000-000017040000}"/>
    <cellStyle name="Linked Cell 6" xfId="1055" xr:uid="{00000000-0005-0000-0000-000018040000}"/>
    <cellStyle name="Linked Cell 7" xfId="1056" xr:uid="{00000000-0005-0000-0000-000019040000}"/>
    <cellStyle name="Linked Cell 8" xfId="1057" xr:uid="{00000000-0005-0000-0000-00001A040000}"/>
    <cellStyle name="Linked Cell 9" xfId="1058" xr:uid="{00000000-0005-0000-0000-00001B040000}"/>
    <cellStyle name="Neutral 10" xfId="1059" xr:uid="{00000000-0005-0000-0000-00001C040000}"/>
    <cellStyle name="Neutral 11" xfId="1060" xr:uid="{00000000-0005-0000-0000-00001D040000}"/>
    <cellStyle name="Neutral 12" xfId="1061" xr:uid="{00000000-0005-0000-0000-00001E040000}"/>
    <cellStyle name="Neutral 13" xfId="1062" xr:uid="{00000000-0005-0000-0000-00001F040000}"/>
    <cellStyle name="Neutral 14" xfId="1063" xr:uid="{00000000-0005-0000-0000-000020040000}"/>
    <cellStyle name="Neutral 15" xfId="1064" xr:uid="{00000000-0005-0000-0000-000021040000}"/>
    <cellStyle name="Neutral 16" xfId="1065" xr:uid="{00000000-0005-0000-0000-000022040000}"/>
    <cellStyle name="Neutral 2" xfId="1066" xr:uid="{00000000-0005-0000-0000-000023040000}"/>
    <cellStyle name="Neutral 3" xfId="1067" xr:uid="{00000000-0005-0000-0000-000024040000}"/>
    <cellStyle name="Neutral 4" xfId="1068" xr:uid="{00000000-0005-0000-0000-000025040000}"/>
    <cellStyle name="Neutral 5" xfId="1069" xr:uid="{00000000-0005-0000-0000-000026040000}"/>
    <cellStyle name="Neutral 6" xfId="1070" xr:uid="{00000000-0005-0000-0000-000027040000}"/>
    <cellStyle name="Neutral 7" xfId="1071" xr:uid="{00000000-0005-0000-0000-000028040000}"/>
    <cellStyle name="Neutral 8" xfId="1072" xr:uid="{00000000-0005-0000-0000-000029040000}"/>
    <cellStyle name="Neutral 9" xfId="1073" xr:uid="{00000000-0005-0000-0000-00002A040000}"/>
    <cellStyle name="Normal 10" xfId="1074" xr:uid="{00000000-0005-0000-0000-00002B040000}"/>
    <cellStyle name="Normal 10 2" xfId="1" xr:uid="{00000000-0005-0000-0000-00002C040000}"/>
    <cellStyle name="Normal 10 2 2" xfId="1075" xr:uid="{00000000-0005-0000-0000-00002D040000}"/>
    <cellStyle name="Normal 10 3" xfId="1076" xr:uid="{00000000-0005-0000-0000-00002E040000}"/>
    <cellStyle name="Normal 10 4" xfId="1077" xr:uid="{00000000-0005-0000-0000-00002F040000}"/>
    <cellStyle name="Normal 10 5" xfId="1078" xr:uid="{00000000-0005-0000-0000-000030040000}"/>
    <cellStyle name="Normal 10 5 2" xfId="1079" xr:uid="{00000000-0005-0000-0000-000031040000}"/>
    <cellStyle name="Normal 10 5 2 2" xfId="1080" xr:uid="{00000000-0005-0000-0000-000032040000}"/>
    <cellStyle name="Normal 10 5 3" xfId="1081" xr:uid="{00000000-0005-0000-0000-000033040000}"/>
    <cellStyle name="Normal 10 6" xfId="1082" xr:uid="{00000000-0005-0000-0000-000034040000}"/>
    <cellStyle name="Normal 10 6 2" xfId="1083" xr:uid="{00000000-0005-0000-0000-000035040000}"/>
    <cellStyle name="Normal 10 7" xfId="1084" xr:uid="{00000000-0005-0000-0000-000036040000}"/>
    <cellStyle name="Normal 11" xfId="1085" xr:uid="{00000000-0005-0000-0000-000037040000}"/>
    <cellStyle name="Normal 12" xfId="1086" xr:uid="{00000000-0005-0000-0000-000038040000}"/>
    <cellStyle name="Normal 12 2" xfId="1087" xr:uid="{00000000-0005-0000-0000-000039040000}"/>
    <cellStyle name="Normal 12 2 2" xfId="1088" xr:uid="{00000000-0005-0000-0000-00003A040000}"/>
    <cellStyle name="Normal 13" xfId="2" xr:uid="{00000000-0005-0000-0000-00003B040000}"/>
    <cellStyle name="Normal 14" xfId="1089" xr:uid="{00000000-0005-0000-0000-00003C040000}"/>
    <cellStyle name="Normal 14 2" xfId="1090" xr:uid="{00000000-0005-0000-0000-00003D040000}"/>
    <cellStyle name="Normal 15" xfId="1091" xr:uid="{00000000-0005-0000-0000-00003E040000}"/>
    <cellStyle name="Normal 16" xfId="1092" xr:uid="{00000000-0005-0000-0000-00003F040000}"/>
    <cellStyle name="Normal 17" xfId="1093" xr:uid="{00000000-0005-0000-0000-000040040000}"/>
    <cellStyle name="Normal 18" xfId="1094" xr:uid="{00000000-0005-0000-0000-000041040000}"/>
    <cellStyle name="Normal 19" xfId="1095" xr:uid="{00000000-0005-0000-0000-000042040000}"/>
    <cellStyle name="Normal 2" xfId="1096" xr:uid="{00000000-0005-0000-0000-000043040000}"/>
    <cellStyle name="Normal 2 10" xfId="4" xr:uid="{00000000-0005-0000-0000-000044040000}"/>
    <cellStyle name="Normal 2 10 2" xfId="1098" xr:uid="{00000000-0005-0000-0000-000045040000}"/>
    <cellStyle name="Normal 2 10 3" xfId="1099" xr:uid="{00000000-0005-0000-0000-000046040000}"/>
    <cellStyle name="Normal 2 10 4" xfId="1100" xr:uid="{00000000-0005-0000-0000-000047040000}"/>
    <cellStyle name="Normal 2 10 5" xfId="1097" xr:uid="{00000000-0005-0000-0000-000048040000}"/>
    <cellStyle name="Normal 2 10 5 2" xfId="1478" xr:uid="{D19464D5-5FC7-4CFE-98ED-39054120F1A8}"/>
    <cellStyle name="Normal 2 10 6" xfId="1469" xr:uid="{6EEE43F5-C548-4ACA-874D-B965B615C092}"/>
    <cellStyle name="Normal 2 10 9" xfId="3" xr:uid="{00000000-0005-0000-0000-000049040000}"/>
    <cellStyle name="Normal 2 10 9 2" xfId="1102" xr:uid="{00000000-0005-0000-0000-00004A040000}"/>
    <cellStyle name="Normal 2 10 9 3" xfId="1101" xr:uid="{00000000-0005-0000-0000-00004B040000}"/>
    <cellStyle name="Normal 2 10 9 3 2" xfId="1479" xr:uid="{6D102A7D-5315-415B-BABA-33790CDDA5CE}"/>
    <cellStyle name="Normal 2 10 9 4" xfId="1468" xr:uid="{E2BEA3F1-E493-4F48-A49B-1C6ED115F094}"/>
    <cellStyle name="Normal 2 11" xfId="1103" xr:uid="{00000000-0005-0000-0000-00004C040000}"/>
    <cellStyle name="Normal 2 11 2" xfId="1104" xr:uid="{00000000-0005-0000-0000-00004D040000}"/>
    <cellStyle name="Normal 2 12" xfId="1105" xr:uid="{00000000-0005-0000-0000-00004E040000}"/>
    <cellStyle name="Normal 2 13" xfId="1106" xr:uid="{00000000-0005-0000-0000-00004F040000}"/>
    <cellStyle name="Normal 2 13 10" xfId="1107" xr:uid="{00000000-0005-0000-0000-000050040000}"/>
    <cellStyle name="Normal 2 13 11" xfId="1108" xr:uid="{00000000-0005-0000-0000-000051040000}"/>
    <cellStyle name="Normal 2 13 12" xfId="1109" xr:uid="{00000000-0005-0000-0000-000052040000}"/>
    <cellStyle name="Normal 2 13 13" xfId="1110" xr:uid="{00000000-0005-0000-0000-000053040000}"/>
    <cellStyle name="Normal 2 13 2" xfId="1111" xr:uid="{00000000-0005-0000-0000-000054040000}"/>
    <cellStyle name="Normal 2 13 2 10" xfId="1112" xr:uid="{00000000-0005-0000-0000-000055040000}"/>
    <cellStyle name="Normal 2 13 2 11" xfId="1113" xr:uid="{00000000-0005-0000-0000-000056040000}"/>
    <cellStyle name="Normal 2 13 2 12" xfId="1114" xr:uid="{00000000-0005-0000-0000-000057040000}"/>
    <cellStyle name="Normal 2 13 2 13" xfId="1115" xr:uid="{00000000-0005-0000-0000-000058040000}"/>
    <cellStyle name="Normal 2 13 2 2" xfId="1116" xr:uid="{00000000-0005-0000-0000-000059040000}"/>
    <cellStyle name="Normal 2 13 2 3" xfId="1117" xr:uid="{00000000-0005-0000-0000-00005A040000}"/>
    <cellStyle name="Normal 2 13 2 4" xfId="1118" xr:uid="{00000000-0005-0000-0000-00005B040000}"/>
    <cellStyle name="Normal 2 13 2 5" xfId="1119" xr:uid="{00000000-0005-0000-0000-00005C040000}"/>
    <cellStyle name="Normal 2 13 2 6" xfId="1120" xr:uid="{00000000-0005-0000-0000-00005D040000}"/>
    <cellStyle name="Normal 2 13 2 7" xfId="1121" xr:uid="{00000000-0005-0000-0000-00005E040000}"/>
    <cellStyle name="Normal 2 13 2 8" xfId="1122" xr:uid="{00000000-0005-0000-0000-00005F040000}"/>
    <cellStyle name="Normal 2 13 2 9" xfId="1123" xr:uid="{00000000-0005-0000-0000-000060040000}"/>
    <cellStyle name="Normal 2 13 3" xfId="1124" xr:uid="{00000000-0005-0000-0000-000061040000}"/>
    <cellStyle name="Normal 2 13 4" xfId="1125" xr:uid="{00000000-0005-0000-0000-000062040000}"/>
    <cellStyle name="Normal 2 13 5" xfId="1126" xr:uid="{00000000-0005-0000-0000-000063040000}"/>
    <cellStyle name="Normal 2 13 6" xfId="1127" xr:uid="{00000000-0005-0000-0000-000064040000}"/>
    <cellStyle name="Normal 2 13 7" xfId="1128" xr:uid="{00000000-0005-0000-0000-000065040000}"/>
    <cellStyle name="Normal 2 13 8" xfId="1129" xr:uid="{00000000-0005-0000-0000-000066040000}"/>
    <cellStyle name="Normal 2 13 9" xfId="1130" xr:uid="{00000000-0005-0000-0000-000067040000}"/>
    <cellStyle name="Normal 2 14" xfId="1131" xr:uid="{00000000-0005-0000-0000-000068040000}"/>
    <cellStyle name="Normal 2 15" xfId="1132" xr:uid="{00000000-0005-0000-0000-000069040000}"/>
    <cellStyle name="Normal 2 16" xfId="1133" xr:uid="{00000000-0005-0000-0000-00006A040000}"/>
    <cellStyle name="Normal 2 17" xfId="1134" xr:uid="{00000000-0005-0000-0000-00006B040000}"/>
    <cellStyle name="Normal 2 18" xfId="1135" xr:uid="{00000000-0005-0000-0000-00006C040000}"/>
    <cellStyle name="Normal 2 19" xfId="1136" xr:uid="{00000000-0005-0000-0000-00006D040000}"/>
    <cellStyle name="Normal 2 2" xfId="1137" xr:uid="{00000000-0005-0000-0000-00006E040000}"/>
    <cellStyle name="Normal 2 2 10" xfId="1138" xr:uid="{00000000-0005-0000-0000-00006F040000}"/>
    <cellStyle name="Normal 2 2 10 2" xfId="1139" xr:uid="{00000000-0005-0000-0000-000070040000}"/>
    <cellStyle name="Normal 2 2 11" xfId="1140" xr:uid="{00000000-0005-0000-0000-000071040000}"/>
    <cellStyle name="Normal 2 2 11 2" xfId="1141" xr:uid="{00000000-0005-0000-0000-000072040000}"/>
    <cellStyle name="Normal 2 2 12" xfId="1142" xr:uid="{00000000-0005-0000-0000-000073040000}"/>
    <cellStyle name="Normal 2 2 12 2" xfId="1143" xr:uid="{00000000-0005-0000-0000-000074040000}"/>
    <cellStyle name="Normal 2 2 13" xfId="1144" xr:uid="{00000000-0005-0000-0000-000075040000}"/>
    <cellStyle name="Normal 2 2 13 2" xfId="1145" xr:uid="{00000000-0005-0000-0000-000076040000}"/>
    <cellStyle name="Normal 2 2 14" xfId="1146" xr:uid="{00000000-0005-0000-0000-000077040000}"/>
    <cellStyle name="Normal 2 2 14 2" xfId="1147" xr:uid="{00000000-0005-0000-0000-000078040000}"/>
    <cellStyle name="Normal 2 2 15" xfId="1148" xr:uid="{00000000-0005-0000-0000-000079040000}"/>
    <cellStyle name="Normal 2 2 15 2" xfId="1149" xr:uid="{00000000-0005-0000-0000-00007A040000}"/>
    <cellStyle name="Normal 2 2 16" xfId="1150" xr:uid="{00000000-0005-0000-0000-00007B040000}"/>
    <cellStyle name="Normal 2 2 16 2" xfId="1151" xr:uid="{00000000-0005-0000-0000-00007C040000}"/>
    <cellStyle name="Normal 2 2 17" xfId="1152" xr:uid="{00000000-0005-0000-0000-00007D040000}"/>
    <cellStyle name="Normal 2 2 17 2" xfId="1153" xr:uid="{00000000-0005-0000-0000-00007E040000}"/>
    <cellStyle name="Normal 2 2 18" xfId="1154" xr:uid="{00000000-0005-0000-0000-00007F040000}"/>
    <cellStyle name="Normal 2 2 18 2" xfId="1155" xr:uid="{00000000-0005-0000-0000-000080040000}"/>
    <cellStyle name="Normal 2 2 19" xfId="1156" xr:uid="{00000000-0005-0000-0000-000081040000}"/>
    <cellStyle name="Normal 2 2 19 2" xfId="1157" xr:uid="{00000000-0005-0000-0000-000082040000}"/>
    <cellStyle name="Normal 2 2 2" xfId="1158" xr:uid="{00000000-0005-0000-0000-000083040000}"/>
    <cellStyle name="Normal 2 2 2 2" xfId="1159" xr:uid="{00000000-0005-0000-0000-000084040000}"/>
    <cellStyle name="Normal 2 2 20" xfId="1160" xr:uid="{00000000-0005-0000-0000-000085040000}"/>
    <cellStyle name="Normal 2 2 21" xfId="1161" xr:uid="{00000000-0005-0000-0000-000086040000}"/>
    <cellStyle name="Normal 2 2 22" xfId="1162" xr:uid="{00000000-0005-0000-0000-000087040000}"/>
    <cellStyle name="Normal 2 2 3" xfId="6" xr:uid="{00000000-0005-0000-0000-000088040000}"/>
    <cellStyle name="Normal 2 2 4" xfId="1163" xr:uid="{00000000-0005-0000-0000-000089040000}"/>
    <cellStyle name="Normal 2 2 4 10" xfId="1164" xr:uid="{00000000-0005-0000-0000-00008A040000}"/>
    <cellStyle name="Normal 2 2 4 11" xfId="1165" xr:uid="{00000000-0005-0000-0000-00008B040000}"/>
    <cellStyle name="Normal 2 2 4 12" xfId="1166" xr:uid="{00000000-0005-0000-0000-00008C040000}"/>
    <cellStyle name="Normal 2 2 4 13" xfId="1167" xr:uid="{00000000-0005-0000-0000-00008D040000}"/>
    <cellStyle name="Normal 2 2 4 14" xfId="1168" xr:uid="{00000000-0005-0000-0000-00008E040000}"/>
    <cellStyle name="Normal 2 2 4 2" xfId="1169" xr:uid="{00000000-0005-0000-0000-00008F040000}"/>
    <cellStyle name="Normal 2 2 4 2 10" xfId="1170" xr:uid="{00000000-0005-0000-0000-000090040000}"/>
    <cellStyle name="Normal 2 2 4 2 10 2" xfId="1171" xr:uid="{00000000-0005-0000-0000-000091040000}"/>
    <cellStyle name="Normal 2 2 4 2 11" xfId="1172" xr:uid="{00000000-0005-0000-0000-000092040000}"/>
    <cellStyle name="Normal 2 2 4 2 11 2" xfId="1173" xr:uid="{00000000-0005-0000-0000-000093040000}"/>
    <cellStyle name="Normal 2 2 4 2 12" xfId="1174" xr:uid="{00000000-0005-0000-0000-000094040000}"/>
    <cellStyle name="Normal 2 2 4 2 12 2" xfId="1175" xr:uid="{00000000-0005-0000-0000-000095040000}"/>
    <cellStyle name="Normal 2 2 4 2 13" xfId="1176" xr:uid="{00000000-0005-0000-0000-000096040000}"/>
    <cellStyle name="Normal 2 2 4 2 13 2" xfId="1177" xr:uid="{00000000-0005-0000-0000-000097040000}"/>
    <cellStyle name="Normal 2 2 4 2 2" xfId="1178" xr:uid="{00000000-0005-0000-0000-000098040000}"/>
    <cellStyle name="Normal 2 2 4 2 2 2" xfId="1179" xr:uid="{00000000-0005-0000-0000-000099040000}"/>
    <cellStyle name="Normal 2 2 4 2 3" xfId="1180" xr:uid="{00000000-0005-0000-0000-00009A040000}"/>
    <cellStyle name="Normal 2 2 4 2 3 2" xfId="1181" xr:uid="{00000000-0005-0000-0000-00009B040000}"/>
    <cellStyle name="Normal 2 2 4 2 4" xfId="1182" xr:uid="{00000000-0005-0000-0000-00009C040000}"/>
    <cellStyle name="Normal 2 2 4 2 4 2" xfId="1183" xr:uid="{00000000-0005-0000-0000-00009D040000}"/>
    <cellStyle name="Normal 2 2 4 2 5" xfId="1184" xr:uid="{00000000-0005-0000-0000-00009E040000}"/>
    <cellStyle name="Normal 2 2 4 2 5 2" xfId="1185" xr:uid="{00000000-0005-0000-0000-00009F040000}"/>
    <cellStyle name="Normal 2 2 4 2 6" xfId="1186" xr:uid="{00000000-0005-0000-0000-0000A0040000}"/>
    <cellStyle name="Normal 2 2 4 2 6 2" xfId="1187" xr:uid="{00000000-0005-0000-0000-0000A1040000}"/>
    <cellStyle name="Normal 2 2 4 2 7" xfId="1188" xr:uid="{00000000-0005-0000-0000-0000A2040000}"/>
    <cellStyle name="Normal 2 2 4 2 7 2" xfId="1189" xr:uid="{00000000-0005-0000-0000-0000A3040000}"/>
    <cellStyle name="Normal 2 2 4 2 8" xfId="1190" xr:uid="{00000000-0005-0000-0000-0000A4040000}"/>
    <cellStyle name="Normal 2 2 4 2 8 2" xfId="1191" xr:uid="{00000000-0005-0000-0000-0000A5040000}"/>
    <cellStyle name="Normal 2 2 4 2 9" xfId="1192" xr:uid="{00000000-0005-0000-0000-0000A6040000}"/>
    <cellStyle name="Normal 2 2 4 2 9 2" xfId="1193" xr:uid="{00000000-0005-0000-0000-0000A7040000}"/>
    <cellStyle name="Normal 2 2 4 3" xfId="1194" xr:uid="{00000000-0005-0000-0000-0000A8040000}"/>
    <cellStyle name="Normal 2 2 4 4" xfId="1195" xr:uid="{00000000-0005-0000-0000-0000A9040000}"/>
    <cellStyle name="Normal 2 2 4 5" xfId="1196" xr:uid="{00000000-0005-0000-0000-0000AA040000}"/>
    <cellStyle name="Normal 2 2 4 6" xfId="1197" xr:uid="{00000000-0005-0000-0000-0000AB040000}"/>
    <cellStyle name="Normal 2 2 4 7" xfId="1198" xr:uid="{00000000-0005-0000-0000-0000AC040000}"/>
    <cellStyle name="Normal 2 2 4 8" xfId="1199" xr:uid="{00000000-0005-0000-0000-0000AD040000}"/>
    <cellStyle name="Normal 2 2 4 9" xfId="1200" xr:uid="{00000000-0005-0000-0000-0000AE040000}"/>
    <cellStyle name="Normal 2 2 5" xfId="1201" xr:uid="{00000000-0005-0000-0000-0000AF040000}"/>
    <cellStyle name="Normal 2 2 5 2" xfId="1202" xr:uid="{00000000-0005-0000-0000-0000B0040000}"/>
    <cellStyle name="Normal 2 2 6" xfId="1203" xr:uid="{00000000-0005-0000-0000-0000B1040000}"/>
    <cellStyle name="Normal 2 2 6 2" xfId="1204" xr:uid="{00000000-0005-0000-0000-0000B2040000}"/>
    <cellStyle name="Normal 2 2 7" xfId="1205" xr:uid="{00000000-0005-0000-0000-0000B3040000}"/>
    <cellStyle name="Normal 2 2 7 2" xfId="1206" xr:uid="{00000000-0005-0000-0000-0000B4040000}"/>
    <cellStyle name="Normal 2 2 8" xfId="1207" xr:uid="{00000000-0005-0000-0000-0000B5040000}"/>
    <cellStyle name="Normal 2 2 8 2" xfId="1208" xr:uid="{00000000-0005-0000-0000-0000B6040000}"/>
    <cellStyle name="Normal 2 2 8 2 2" xfId="1209" xr:uid="{00000000-0005-0000-0000-0000B7040000}"/>
    <cellStyle name="Normal 2 2 8 3" xfId="1210" xr:uid="{00000000-0005-0000-0000-0000B8040000}"/>
    <cellStyle name="Normal 2 2 9" xfId="1211" xr:uid="{00000000-0005-0000-0000-0000B9040000}"/>
    <cellStyle name="Normal 2 2 9 2" xfId="1212" xr:uid="{00000000-0005-0000-0000-0000BA040000}"/>
    <cellStyle name="Normal 2 20" xfId="1213" xr:uid="{00000000-0005-0000-0000-0000BB040000}"/>
    <cellStyle name="Normal 2 21" xfId="1214" xr:uid="{00000000-0005-0000-0000-0000BC040000}"/>
    <cellStyle name="Normal 2 22" xfId="1215" xr:uid="{00000000-0005-0000-0000-0000BD040000}"/>
    <cellStyle name="Normal 2 23" xfId="1216" xr:uid="{00000000-0005-0000-0000-0000BE040000}"/>
    <cellStyle name="Normal 2 24" xfId="1217" xr:uid="{00000000-0005-0000-0000-0000BF040000}"/>
    <cellStyle name="Normal 2 25" xfId="1218" xr:uid="{00000000-0005-0000-0000-0000C0040000}"/>
    <cellStyle name="Normal 2 26" xfId="1219" xr:uid="{00000000-0005-0000-0000-0000C1040000}"/>
    <cellStyle name="Normal 2 27" xfId="1220" xr:uid="{00000000-0005-0000-0000-0000C2040000}"/>
    <cellStyle name="Normal 2 28" xfId="1221" xr:uid="{00000000-0005-0000-0000-0000C3040000}"/>
    <cellStyle name="Normal 2 3" xfId="1222" xr:uid="{00000000-0005-0000-0000-0000C4040000}"/>
    <cellStyle name="Normal 2 3 2" xfId="1223" xr:uid="{00000000-0005-0000-0000-0000C5040000}"/>
    <cellStyle name="Normal 2 4" xfId="10" xr:uid="{00000000-0005-0000-0000-0000C6040000}"/>
    <cellStyle name="Normal 2 5" xfId="1224" xr:uid="{00000000-0005-0000-0000-0000C7040000}"/>
    <cellStyle name="Normal 2 6" xfId="1225" xr:uid="{00000000-0005-0000-0000-0000C8040000}"/>
    <cellStyle name="Normal 2 7" xfId="1226" xr:uid="{00000000-0005-0000-0000-0000C9040000}"/>
    <cellStyle name="Normal 2 7 2" xfId="1227" xr:uid="{00000000-0005-0000-0000-0000CA040000}"/>
    <cellStyle name="Normal 2 8" xfId="1228" xr:uid="{00000000-0005-0000-0000-0000CB040000}"/>
    <cellStyle name="Normal 2 8 2" xfId="1229" xr:uid="{00000000-0005-0000-0000-0000CC040000}"/>
    <cellStyle name="Normal 2 9" xfId="1230" xr:uid="{00000000-0005-0000-0000-0000CD040000}"/>
    <cellStyle name="Normal 2 9 2" xfId="1231" xr:uid="{00000000-0005-0000-0000-0000CE040000}"/>
    <cellStyle name="Normal 2_2210_2220_2230_2240_2250_2260" xfId="1232" xr:uid="{00000000-0005-0000-0000-0000CF040000}"/>
    <cellStyle name="Normal 20" xfId="1233" xr:uid="{00000000-0005-0000-0000-0000D0040000}"/>
    <cellStyle name="Normal 21" xfId="1234" xr:uid="{00000000-0005-0000-0000-0000D1040000}"/>
    <cellStyle name="Normal 22" xfId="1235" xr:uid="{00000000-0005-0000-0000-0000D2040000}"/>
    <cellStyle name="Normal 23" xfId="1236" xr:uid="{00000000-0005-0000-0000-0000D3040000}"/>
    <cellStyle name="Normal 24" xfId="1237" xr:uid="{00000000-0005-0000-0000-0000D4040000}"/>
    <cellStyle name="Normal 25" xfId="1238" xr:uid="{00000000-0005-0000-0000-0000D5040000}"/>
    <cellStyle name="Normal 26" xfId="8" xr:uid="{00000000-0005-0000-0000-0000D6040000}"/>
    <cellStyle name="Normal 26 2" xfId="1240" xr:uid="{00000000-0005-0000-0000-0000D7040000}"/>
    <cellStyle name="Normal 26 2 2" xfId="1481" xr:uid="{13617F06-8CA7-4039-9254-857DD6FC7CC7}"/>
    <cellStyle name="Normal 26 3" xfId="1241" xr:uid="{00000000-0005-0000-0000-0000D8040000}"/>
    <cellStyle name="Normal 26 4" xfId="1239" xr:uid="{00000000-0005-0000-0000-0000D9040000}"/>
    <cellStyle name="Normal 26 4 2" xfId="1480" xr:uid="{E3CE5B97-E5DB-4293-8496-47C40ED410FE}"/>
    <cellStyle name="Normal 26 5" xfId="1471" xr:uid="{3C5430F8-07D4-4321-B583-33A130FAD29B}"/>
    <cellStyle name="Normal 27" xfId="11" xr:uid="{00000000-0005-0000-0000-0000DA040000}"/>
    <cellStyle name="Normal 28" xfId="1242" xr:uid="{00000000-0005-0000-0000-0000DB040000}"/>
    <cellStyle name="Normal 29" xfId="1243" xr:uid="{00000000-0005-0000-0000-0000DC040000}"/>
    <cellStyle name="Normal 29 2" xfId="1244" xr:uid="{00000000-0005-0000-0000-0000DD040000}"/>
    <cellStyle name="Normal 3" xfId="1245" xr:uid="{00000000-0005-0000-0000-0000DE040000}"/>
    <cellStyle name="Normal 3 10" xfId="1246" xr:uid="{00000000-0005-0000-0000-0000DF040000}"/>
    <cellStyle name="Normal 3 10 2" xfId="1247" xr:uid="{00000000-0005-0000-0000-0000E0040000}"/>
    <cellStyle name="Normal 3 11" xfId="1248" xr:uid="{00000000-0005-0000-0000-0000E1040000}"/>
    <cellStyle name="Normal 3 12" xfId="1249" xr:uid="{00000000-0005-0000-0000-0000E2040000}"/>
    <cellStyle name="Normal 3 13" xfId="1250" xr:uid="{00000000-0005-0000-0000-0000E3040000}"/>
    <cellStyle name="Normal 3 14" xfId="1251" xr:uid="{00000000-0005-0000-0000-0000E4040000}"/>
    <cellStyle name="Normal 3 15" xfId="1252" xr:uid="{00000000-0005-0000-0000-0000E5040000}"/>
    <cellStyle name="Normal 3 16" xfId="1253" xr:uid="{00000000-0005-0000-0000-0000E6040000}"/>
    <cellStyle name="Normal 3 17" xfId="1254" xr:uid="{00000000-0005-0000-0000-0000E7040000}"/>
    <cellStyle name="Normal 3 18" xfId="1255" xr:uid="{00000000-0005-0000-0000-0000E8040000}"/>
    <cellStyle name="Normal 3 19" xfId="1256" xr:uid="{00000000-0005-0000-0000-0000E9040000}"/>
    <cellStyle name="Normal 3 2" xfId="1257" xr:uid="{00000000-0005-0000-0000-0000EA040000}"/>
    <cellStyle name="Normal 3 2 2" xfId="1258" xr:uid="{00000000-0005-0000-0000-0000EB040000}"/>
    <cellStyle name="Normal 3 20" xfId="1259" xr:uid="{00000000-0005-0000-0000-0000EC040000}"/>
    <cellStyle name="Normal 3 21" xfId="1260" xr:uid="{00000000-0005-0000-0000-0000ED040000}"/>
    <cellStyle name="Normal 3 22" xfId="1261" xr:uid="{00000000-0005-0000-0000-0000EE040000}"/>
    <cellStyle name="Normal 3 23" xfId="1262" xr:uid="{00000000-0005-0000-0000-0000EF040000}"/>
    <cellStyle name="Normal 3 24" xfId="1462" xr:uid="{00000000-0005-0000-0000-0000F0040000}"/>
    <cellStyle name="Normal 3 24 2" xfId="1486" xr:uid="{F1B2EE5B-67FF-431F-828A-CA56C7C5D6FA}"/>
    <cellStyle name="Normal 3 3" xfId="1263" xr:uid="{00000000-0005-0000-0000-0000F1040000}"/>
    <cellStyle name="Normal 3 3 2" xfId="1264" xr:uid="{00000000-0005-0000-0000-0000F2040000}"/>
    <cellStyle name="Normal 3 4" xfId="1265" xr:uid="{00000000-0005-0000-0000-0000F3040000}"/>
    <cellStyle name="Normal 3 4 2" xfId="1266" xr:uid="{00000000-0005-0000-0000-0000F4040000}"/>
    <cellStyle name="Normal 3 5" xfId="1267" xr:uid="{00000000-0005-0000-0000-0000F5040000}"/>
    <cellStyle name="Normal 3 6" xfId="1268" xr:uid="{00000000-0005-0000-0000-0000F6040000}"/>
    <cellStyle name="Normal 3 6 2" xfId="1269" xr:uid="{00000000-0005-0000-0000-0000F7040000}"/>
    <cellStyle name="Normal 3 7" xfId="1270" xr:uid="{00000000-0005-0000-0000-0000F8040000}"/>
    <cellStyle name="Normal 3 7 2" xfId="1271" xr:uid="{00000000-0005-0000-0000-0000F9040000}"/>
    <cellStyle name="Normal 3 8" xfId="1272" xr:uid="{00000000-0005-0000-0000-0000FA040000}"/>
    <cellStyle name="Normal 3 8 2" xfId="1273" xr:uid="{00000000-0005-0000-0000-0000FB040000}"/>
    <cellStyle name="Normal 3 9" xfId="1274" xr:uid="{00000000-0005-0000-0000-0000FC040000}"/>
    <cellStyle name="Normal 3 9 2" xfId="1275" xr:uid="{00000000-0005-0000-0000-0000FD040000}"/>
    <cellStyle name="Normal 3_2210_2220_2230_2240_2250_2260" xfId="1276" xr:uid="{00000000-0005-0000-0000-0000FE040000}"/>
    <cellStyle name="Normal 30" xfId="1277" xr:uid="{00000000-0005-0000-0000-0000FF040000}"/>
    <cellStyle name="Normal 30 2" xfId="1278" xr:uid="{00000000-0005-0000-0000-000000050000}"/>
    <cellStyle name="Normal 31" xfId="1279" xr:uid="{00000000-0005-0000-0000-000001050000}"/>
    <cellStyle name="Normal 31 2" xfId="1280" xr:uid="{00000000-0005-0000-0000-000002050000}"/>
    <cellStyle name="Normal 32" xfId="1281" xr:uid="{00000000-0005-0000-0000-000003050000}"/>
    <cellStyle name="Normal 32 2" xfId="1282" xr:uid="{00000000-0005-0000-0000-000004050000}"/>
    <cellStyle name="Normal 32 2 2" xfId="1283" xr:uid="{00000000-0005-0000-0000-000005050000}"/>
    <cellStyle name="Normal 32 3" xfId="1284" xr:uid="{00000000-0005-0000-0000-000006050000}"/>
    <cellStyle name="Normal 32 3 2" xfId="1285" xr:uid="{00000000-0005-0000-0000-000007050000}"/>
    <cellStyle name="Normal 32 4" xfId="1286" xr:uid="{00000000-0005-0000-0000-000008050000}"/>
    <cellStyle name="Normal 32 4 2" xfId="1287" xr:uid="{00000000-0005-0000-0000-000009050000}"/>
    <cellStyle name="Normal 32 5" xfId="1288" xr:uid="{00000000-0005-0000-0000-00000A050000}"/>
    <cellStyle name="Normal 33" xfId="1289" xr:uid="{00000000-0005-0000-0000-00000B050000}"/>
    <cellStyle name="Normal 33 2" xfId="1290" xr:uid="{00000000-0005-0000-0000-00000C050000}"/>
    <cellStyle name="Normal 34" xfId="1291" xr:uid="{00000000-0005-0000-0000-00000D050000}"/>
    <cellStyle name="Normal 34 2" xfId="1292" xr:uid="{00000000-0005-0000-0000-00000E050000}"/>
    <cellStyle name="Normal 35" xfId="1293" xr:uid="{00000000-0005-0000-0000-00000F050000}"/>
    <cellStyle name="Normal 35 2" xfId="1294" xr:uid="{00000000-0005-0000-0000-000010050000}"/>
    <cellStyle name="Normal 36" xfId="1295" xr:uid="{00000000-0005-0000-0000-000011050000}"/>
    <cellStyle name="Normal 36 2" xfId="1296" xr:uid="{00000000-0005-0000-0000-000012050000}"/>
    <cellStyle name="Normal 37" xfId="1297" xr:uid="{00000000-0005-0000-0000-000013050000}"/>
    <cellStyle name="Normal 37 2" xfId="1298" xr:uid="{00000000-0005-0000-0000-000014050000}"/>
    <cellStyle name="Normal 38" xfId="1299" xr:uid="{00000000-0005-0000-0000-000015050000}"/>
    <cellStyle name="Normal 39" xfId="1461" xr:uid="{00000000-0005-0000-0000-000016050000}"/>
    <cellStyle name="Normal 39 2" xfId="1485" xr:uid="{955A8E90-B08A-43E6-B255-40ECB235976A}"/>
    <cellStyle name="Normal 4" xfId="1300" xr:uid="{00000000-0005-0000-0000-000017050000}"/>
    <cellStyle name="Normal 4 10" xfId="1301" xr:uid="{00000000-0005-0000-0000-000018050000}"/>
    <cellStyle name="Normal 4 11" xfId="1302" xr:uid="{00000000-0005-0000-0000-000019050000}"/>
    <cellStyle name="Normal 4 12" xfId="1303" xr:uid="{00000000-0005-0000-0000-00001A050000}"/>
    <cellStyle name="Normal 4 13" xfId="1304" xr:uid="{00000000-0005-0000-0000-00001B050000}"/>
    <cellStyle name="Normal 4 14" xfId="1305" xr:uid="{00000000-0005-0000-0000-00001C050000}"/>
    <cellStyle name="Normal 4 15" xfId="1306" xr:uid="{00000000-0005-0000-0000-00001D050000}"/>
    <cellStyle name="Normal 4 16" xfId="1307" xr:uid="{00000000-0005-0000-0000-00001E050000}"/>
    <cellStyle name="Normal 4 17" xfId="1308" xr:uid="{00000000-0005-0000-0000-00001F050000}"/>
    <cellStyle name="Normal 4 2" xfId="1309" xr:uid="{00000000-0005-0000-0000-000020050000}"/>
    <cellStyle name="Normal 4 2 2" xfId="1310" xr:uid="{00000000-0005-0000-0000-000021050000}"/>
    <cellStyle name="Normal 4 2 2 2" xfId="1311" xr:uid="{00000000-0005-0000-0000-000022050000}"/>
    <cellStyle name="Normal 4 2 3" xfId="1312" xr:uid="{00000000-0005-0000-0000-000023050000}"/>
    <cellStyle name="Normal 4 3" xfId="1313" xr:uid="{00000000-0005-0000-0000-000024050000}"/>
    <cellStyle name="Normal 4 3 2" xfId="1314" xr:uid="{00000000-0005-0000-0000-000025050000}"/>
    <cellStyle name="Normal 4 4" xfId="1315" xr:uid="{00000000-0005-0000-0000-000026050000}"/>
    <cellStyle name="Normal 4 4 2" xfId="1316" xr:uid="{00000000-0005-0000-0000-000027050000}"/>
    <cellStyle name="Normal 4 5" xfId="1317" xr:uid="{00000000-0005-0000-0000-000028050000}"/>
    <cellStyle name="Normal 4 6" xfId="1318" xr:uid="{00000000-0005-0000-0000-000029050000}"/>
    <cellStyle name="Normal 4 7" xfId="1319" xr:uid="{00000000-0005-0000-0000-00002A050000}"/>
    <cellStyle name="Normal 4 8" xfId="1320" xr:uid="{00000000-0005-0000-0000-00002B050000}"/>
    <cellStyle name="Normal 4 9" xfId="1321" xr:uid="{00000000-0005-0000-0000-00002C050000}"/>
    <cellStyle name="Normal 4_2210_2220_2230_2240_2250_2260" xfId="1322" xr:uid="{00000000-0005-0000-0000-00002D050000}"/>
    <cellStyle name="Normal 40" xfId="1466" xr:uid="{00000000-0005-0000-0000-00002E050000}"/>
    <cellStyle name="Normal 45" xfId="1323" xr:uid="{00000000-0005-0000-0000-00002F050000}"/>
    <cellStyle name="Normal 45 2" xfId="1324" xr:uid="{00000000-0005-0000-0000-000030050000}"/>
    <cellStyle name="Normal 45 2 2" xfId="1325" xr:uid="{00000000-0005-0000-0000-000031050000}"/>
    <cellStyle name="Normal 45 3" xfId="1326" xr:uid="{00000000-0005-0000-0000-000032050000}"/>
    <cellStyle name="Normal 45 3 2" xfId="1327" xr:uid="{00000000-0005-0000-0000-000033050000}"/>
    <cellStyle name="Normal 45 4" xfId="1328" xr:uid="{00000000-0005-0000-0000-000034050000}"/>
    <cellStyle name="Normal 45 4 2" xfId="1329" xr:uid="{00000000-0005-0000-0000-000035050000}"/>
    <cellStyle name="Normal 45 5" xfId="1330" xr:uid="{00000000-0005-0000-0000-000036050000}"/>
    <cellStyle name="Normal 5" xfId="1331" xr:uid="{00000000-0005-0000-0000-000037050000}"/>
    <cellStyle name="Normal 5 2" xfId="1332" xr:uid="{00000000-0005-0000-0000-000038050000}"/>
    <cellStyle name="Normal 5 3" xfId="1333" xr:uid="{00000000-0005-0000-0000-000039050000}"/>
    <cellStyle name="Normal 50" xfId="1334" xr:uid="{00000000-0005-0000-0000-00003A050000}"/>
    <cellStyle name="Normal 50 2" xfId="1335" xr:uid="{00000000-0005-0000-0000-00003B050000}"/>
    <cellStyle name="Normal 50 2 2" xfId="1336" xr:uid="{00000000-0005-0000-0000-00003C050000}"/>
    <cellStyle name="Normal 50 3" xfId="1337" xr:uid="{00000000-0005-0000-0000-00003D050000}"/>
    <cellStyle name="Normal 50 3 2" xfId="1338" xr:uid="{00000000-0005-0000-0000-00003E050000}"/>
    <cellStyle name="Normal 50 4" xfId="1339" xr:uid="{00000000-0005-0000-0000-00003F050000}"/>
    <cellStyle name="Normal 51" xfId="1340" xr:uid="{00000000-0005-0000-0000-000040050000}"/>
    <cellStyle name="Normal 51 2" xfId="1341" xr:uid="{00000000-0005-0000-0000-000041050000}"/>
    <cellStyle name="Normal 51 2 2" xfId="1342" xr:uid="{00000000-0005-0000-0000-000042050000}"/>
    <cellStyle name="Normal 51 3" xfId="1343" xr:uid="{00000000-0005-0000-0000-000043050000}"/>
    <cellStyle name="Normal 51 3 2" xfId="1344" xr:uid="{00000000-0005-0000-0000-000044050000}"/>
    <cellStyle name="Normal 51 4" xfId="1345" xr:uid="{00000000-0005-0000-0000-000045050000}"/>
    <cellStyle name="Normal 6" xfId="1346" xr:uid="{00000000-0005-0000-0000-000046050000}"/>
    <cellStyle name="Normal 6 2" xfId="1347" xr:uid="{00000000-0005-0000-0000-000047050000}"/>
    <cellStyle name="Normal 6 2 2" xfId="1348" xr:uid="{00000000-0005-0000-0000-000048050000}"/>
    <cellStyle name="Normal 6 3" xfId="1349" xr:uid="{00000000-0005-0000-0000-000049050000}"/>
    <cellStyle name="Normal 6 4" xfId="1350" xr:uid="{00000000-0005-0000-0000-00004A050000}"/>
    <cellStyle name="Normal 6 4 2" xfId="7" xr:uid="{00000000-0005-0000-0000-00004B050000}"/>
    <cellStyle name="Normal 6 4 2 2" xfId="1352" xr:uid="{00000000-0005-0000-0000-00004C050000}"/>
    <cellStyle name="Normal 6 4 2 2 2" xfId="1353" xr:uid="{00000000-0005-0000-0000-00004D050000}"/>
    <cellStyle name="Normal 6 4 2 2 3" xfId="1483" xr:uid="{5263CB58-47A6-4DAA-BE23-ACE91BC00658}"/>
    <cellStyle name="Normal 6 4 2 3" xfId="1354" xr:uid="{00000000-0005-0000-0000-00004E050000}"/>
    <cellStyle name="Normal 6 4 2 4" xfId="1355" xr:uid="{00000000-0005-0000-0000-00004F050000}"/>
    <cellStyle name="Normal 6 4 2 5" xfId="1351" xr:uid="{00000000-0005-0000-0000-000050050000}"/>
    <cellStyle name="Normal 6 4 2 5 2" xfId="1482" xr:uid="{14B409CA-21CD-4FE8-B2EB-9CABEFE0F948}"/>
    <cellStyle name="Normal 6 4 2 6" xfId="1470" xr:uid="{1E1FB3A7-0723-4D2D-99E3-28D01C53B2E5}"/>
    <cellStyle name="Normal 6 4 3" xfId="1356" xr:uid="{00000000-0005-0000-0000-000051050000}"/>
    <cellStyle name="Normal 60 2" xfId="1357" xr:uid="{00000000-0005-0000-0000-000052050000}"/>
    <cellStyle name="Normal 60 2 2" xfId="1358" xr:uid="{00000000-0005-0000-0000-000053050000}"/>
    <cellStyle name="Normal 7" xfId="1359" xr:uid="{00000000-0005-0000-0000-000054050000}"/>
    <cellStyle name="Normal 70" xfId="1360" xr:uid="{00000000-0005-0000-0000-000055050000}"/>
    <cellStyle name="Normal 8" xfId="1361" xr:uid="{00000000-0005-0000-0000-000056050000}"/>
    <cellStyle name="Normal 8 2" xfId="5" xr:uid="{00000000-0005-0000-0000-000057050000}"/>
    <cellStyle name="Normal 9" xfId="1362" xr:uid="{00000000-0005-0000-0000-000058050000}"/>
    <cellStyle name="Normal_Sheet3" xfId="1467" xr:uid="{00000000-0005-0000-0000-000059050000}"/>
    <cellStyle name="Note 10" xfId="1363" xr:uid="{00000000-0005-0000-0000-00005A050000}"/>
    <cellStyle name="Note 11" xfId="1364" xr:uid="{00000000-0005-0000-0000-00005B050000}"/>
    <cellStyle name="Note 12" xfId="1365" xr:uid="{00000000-0005-0000-0000-00005C050000}"/>
    <cellStyle name="Note 13" xfId="1366" xr:uid="{00000000-0005-0000-0000-00005D050000}"/>
    <cellStyle name="Note 14" xfId="1367" xr:uid="{00000000-0005-0000-0000-00005E050000}"/>
    <cellStyle name="Note 15" xfId="1368" xr:uid="{00000000-0005-0000-0000-00005F050000}"/>
    <cellStyle name="Note 16" xfId="1369" xr:uid="{00000000-0005-0000-0000-000060050000}"/>
    <cellStyle name="Note 2" xfId="1370" xr:uid="{00000000-0005-0000-0000-000061050000}"/>
    <cellStyle name="Note 3" xfId="1371" xr:uid="{00000000-0005-0000-0000-000062050000}"/>
    <cellStyle name="Note 4" xfId="1372" xr:uid="{00000000-0005-0000-0000-000063050000}"/>
    <cellStyle name="Note 5" xfId="1373" xr:uid="{00000000-0005-0000-0000-000064050000}"/>
    <cellStyle name="Note 6" xfId="1374" xr:uid="{00000000-0005-0000-0000-000065050000}"/>
    <cellStyle name="Note 7" xfId="1375" xr:uid="{00000000-0005-0000-0000-000066050000}"/>
    <cellStyle name="Note 8" xfId="1376" xr:uid="{00000000-0005-0000-0000-000067050000}"/>
    <cellStyle name="Note 9" xfId="1377" xr:uid="{00000000-0005-0000-0000-000068050000}"/>
    <cellStyle name="Output 10" xfId="1378" xr:uid="{00000000-0005-0000-0000-000069050000}"/>
    <cellStyle name="Output 11" xfId="1379" xr:uid="{00000000-0005-0000-0000-00006A050000}"/>
    <cellStyle name="Output 12" xfId="1380" xr:uid="{00000000-0005-0000-0000-00006B050000}"/>
    <cellStyle name="Output 13" xfId="1381" xr:uid="{00000000-0005-0000-0000-00006C050000}"/>
    <cellStyle name="Output 14" xfId="1382" xr:uid="{00000000-0005-0000-0000-00006D050000}"/>
    <cellStyle name="Output 15" xfId="1383" xr:uid="{00000000-0005-0000-0000-00006E050000}"/>
    <cellStyle name="Output 16" xfId="1384" xr:uid="{00000000-0005-0000-0000-00006F050000}"/>
    <cellStyle name="Output 2" xfId="1385" xr:uid="{00000000-0005-0000-0000-000070050000}"/>
    <cellStyle name="Output 3" xfId="1386" xr:uid="{00000000-0005-0000-0000-000071050000}"/>
    <cellStyle name="Output 4" xfId="1387" xr:uid="{00000000-0005-0000-0000-000072050000}"/>
    <cellStyle name="Output 5" xfId="1388" xr:uid="{00000000-0005-0000-0000-000073050000}"/>
    <cellStyle name="Output 6" xfId="1389" xr:uid="{00000000-0005-0000-0000-000074050000}"/>
    <cellStyle name="Output 7" xfId="1390" xr:uid="{00000000-0005-0000-0000-000075050000}"/>
    <cellStyle name="Output 8" xfId="1391" xr:uid="{00000000-0005-0000-0000-000076050000}"/>
    <cellStyle name="Output 9" xfId="1392" xr:uid="{00000000-0005-0000-0000-000077050000}"/>
    <cellStyle name="Parasts" xfId="0" builtinId="0"/>
    <cellStyle name="Percent 2" xfId="1393" xr:uid="{00000000-0005-0000-0000-000079050000}"/>
    <cellStyle name="Percent 2 2" xfId="1394" xr:uid="{00000000-0005-0000-0000-00007A050000}"/>
    <cellStyle name="Percent 3" xfId="1395" xr:uid="{00000000-0005-0000-0000-00007B050000}"/>
    <cellStyle name="Percent 4" xfId="1396" xr:uid="{00000000-0005-0000-0000-00007C050000}"/>
    <cellStyle name="Percent 5" xfId="1397" xr:uid="{00000000-0005-0000-0000-00007D050000}"/>
    <cellStyle name="Percent 6" xfId="1398" xr:uid="{00000000-0005-0000-0000-00007E050000}"/>
    <cellStyle name="Percent 6 2" xfId="1399" xr:uid="{00000000-0005-0000-0000-00007F050000}"/>
    <cellStyle name="Procenti" xfId="12" builtinId="5"/>
    <cellStyle name="Title 10" xfId="1400" xr:uid="{00000000-0005-0000-0000-000081050000}"/>
    <cellStyle name="Title 11" xfId="1401" xr:uid="{00000000-0005-0000-0000-000082050000}"/>
    <cellStyle name="Title 12" xfId="1402" xr:uid="{00000000-0005-0000-0000-000083050000}"/>
    <cellStyle name="Title 13" xfId="1403" xr:uid="{00000000-0005-0000-0000-000084050000}"/>
    <cellStyle name="Title 14" xfId="1404" xr:uid="{00000000-0005-0000-0000-000085050000}"/>
    <cellStyle name="Title 15" xfId="1405" xr:uid="{00000000-0005-0000-0000-000086050000}"/>
    <cellStyle name="Title 16" xfId="1406" xr:uid="{00000000-0005-0000-0000-000087050000}"/>
    <cellStyle name="Title 2" xfId="1407" xr:uid="{00000000-0005-0000-0000-000088050000}"/>
    <cellStyle name="Title 3" xfId="1408" xr:uid="{00000000-0005-0000-0000-000089050000}"/>
    <cellStyle name="Title 4" xfId="1409" xr:uid="{00000000-0005-0000-0000-00008A050000}"/>
    <cellStyle name="Title 5" xfId="1410" xr:uid="{00000000-0005-0000-0000-00008B050000}"/>
    <cellStyle name="Title 6" xfId="1411" xr:uid="{00000000-0005-0000-0000-00008C050000}"/>
    <cellStyle name="Title 7" xfId="1412" xr:uid="{00000000-0005-0000-0000-00008D050000}"/>
    <cellStyle name="Title 8" xfId="1413" xr:uid="{00000000-0005-0000-0000-00008E050000}"/>
    <cellStyle name="Title 9" xfId="1414" xr:uid="{00000000-0005-0000-0000-00008F050000}"/>
    <cellStyle name="Total 10" xfId="1415" xr:uid="{00000000-0005-0000-0000-000090050000}"/>
    <cellStyle name="Total 10 2" xfId="1416" xr:uid="{00000000-0005-0000-0000-000091050000}"/>
    <cellStyle name="Total 11" xfId="1417" xr:uid="{00000000-0005-0000-0000-000092050000}"/>
    <cellStyle name="Total 11 2" xfId="1418" xr:uid="{00000000-0005-0000-0000-000093050000}"/>
    <cellStyle name="Total 12" xfId="1419" xr:uid="{00000000-0005-0000-0000-000094050000}"/>
    <cellStyle name="Total 12 2" xfId="1420" xr:uid="{00000000-0005-0000-0000-000095050000}"/>
    <cellStyle name="Total 13" xfId="1421" xr:uid="{00000000-0005-0000-0000-000096050000}"/>
    <cellStyle name="Total 13 2" xfId="1422" xr:uid="{00000000-0005-0000-0000-000097050000}"/>
    <cellStyle name="Total 14" xfId="1423" xr:uid="{00000000-0005-0000-0000-000098050000}"/>
    <cellStyle name="Total 14 2" xfId="1424" xr:uid="{00000000-0005-0000-0000-000099050000}"/>
    <cellStyle name="Total 15" xfId="1425" xr:uid="{00000000-0005-0000-0000-00009A050000}"/>
    <cellStyle name="Total 15 2" xfId="1426" xr:uid="{00000000-0005-0000-0000-00009B050000}"/>
    <cellStyle name="Total 16" xfId="1427" xr:uid="{00000000-0005-0000-0000-00009C050000}"/>
    <cellStyle name="Total 2" xfId="1428" xr:uid="{00000000-0005-0000-0000-00009D050000}"/>
    <cellStyle name="Total 2 2" xfId="1429" xr:uid="{00000000-0005-0000-0000-00009E050000}"/>
    <cellStyle name="Total 3" xfId="1430" xr:uid="{00000000-0005-0000-0000-00009F050000}"/>
    <cellStyle name="Total 3 2" xfId="1431" xr:uid="{00000000-0005-0000-0000-0000A0050000}"/>
    <cellStyle name="Total 4" xfId="1432" xr:uid="{00000000-0005-0000-0000-0000A1050000}"/>
    <cellStyle name="Total 4 2" xfId="1433" xr:uid="{00000000-0005-0000-0000-0000A2050000}"/>
    <cellStyle name="Total 5" xfId="1434" xr:uid="{00000000-0005-0000-0000-0000A3050000}"/>
    <cellStyle name="Total 5 2" xfId="1435" xr:uid="{00000000-0005-0000-0000-0000A4050000}"/>
    <cellStyle name="Total 6" xfId="1436" xr:uid="{00000000-0005-0000-0000-0000A5050000}"/>
    <cellStyle name="Total 6 2" xfId="1437" xr:uid="{00000000-0005-0000-0000-0000A6050000}"/>
    <cellStyle name="Total 7" xfId="1438" xr:uid="{00000000-0005-0000-0000-0000A7050000}"/>
    <cellStyle name="Total 7 2" xfId="1439" xr:uid="{00000000-0005-0000-0000-0000A8050000}"/>
    <cellStyle name="Total 8" xfId="1440" xr:uid="{00000000-0005-0000-0000-0000A9050000}"/>
    <cellStyle name="Total 8 2" xfId="1441" xr:uid="{00000000-0005-0000-0000-0000AA050000}"/>
    <cellStyle name="Total 9" xfId="1442" xr:uid="{00000000-0005-0000-0000-0000AB050000}"/>
    <cellStyle name="Total 9 2" xfId="1443" xr:uid="{00000000-0005-0000-0000-0000AC050000}"/>
    <cellStyle name="Warning Text 10" xfId="1444" xr:uid="{00000000-0005-0000-0000-0000AD050000}"/>
    <cellStyle name="Warning Text 11" xfId="1445" xr:uid="{00000000-0005-0000-0000-0000AE050000}"/>
    <cellStyle name="Warning Text 12" xfId="1446" xr:uid="{00000000-0005-0000-0000-0000AF050000}"/>
    <cellStyle name="Warning Text 13" xfId="1447" xr:uid="{00000000-0005-0000-0000-0000B0050000}"/>
    <cellStyle name="Warning Text 14" xfId="1448" xr:uid="{00000000-0005-0000-0000-0000B1050000}"/>
    <cellStyle name="Warning Text 15" xfId="1449" xr:uid="{00000000-0005-0000-0000-0000B2050000}"/>
    <cellStyle name="Warning Text 16" xfId="1450" xr:uid="{00000000-0005-0000-0000-0000B3050000}"/>
    <cellStyle name="Warning Text 2" xfId="1451" xr:uid="{00000000-0005-0000-0000-0000B4050000}"/>
    <cellStyle name="Warning Text 3" xfId="1452" xr:uid="{00000000-0005-0000-0000-0000B5050000}"/>
    <cellStyle name="Warning Text 4" xfId="1453" xr:uid="{00000000-0005-0000-0000-0000B6050000}"/>
    <cellStyle name="Warning Text 5" xfId="1454" xr:uid="{00000000-0005-0000-0000-0000B7050000}"/>
    <cellStyle name="Warning Text 6" xfId="1455" xr:uid="{00000000-0005-0000-0000-0000B8050000}"/>
    <cellStyle name="Warning Text 7" xfId="1456" xr:uid="{00000000-0005-0000-0000-0000B9050000}"/>
    <cellStyle name="Warning Text 8" xfId="1457" xr:uid="{00000000-0005-0000-0000-0000BA050000}"/>
    <cellStyle name="Warning Text 9" xfId="1458" xr:uid="{00000000-0005-0000-0000-0000BB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tabColor rgb="FF92D050"/>
    <pageSetUpPr fitToPage="1"/>
  </sheetPr>
  <dimension ref="A1:M205"/>
  <sheetViews>
    <sheetView topLeftCell="A187" zoomScale="90" zoomScaleNormal="90" zoomScaleSheetLayoutView="40" zoomScalePageLayoutView="55" workbookViewId="0">
      <selection activeCell="B82" sqref="B82"/>
    </sheetView>
  </sheetViews>
  <sheetFormatPr defaultRowHeight="15.75" x14ac:dyDescent="0.2"/>
  <cols>
    <col min="1" max="1" width="11.7109375" style="217" customWidth="1"/>
    <col min="2" max="2" width="40.28515625" style="217" customWidth="1"/>
    <col min="3" max="3" width="16.85546875" style="217" hidden="1" customWidth="1"/>
    <col min="4" max="4" width="15.140625" style="269" hidden="1" customWidth="1"/>
    <col min="5" max="5" width="18.140625" style="534" hidden="1" customWidth="1"/>
    <col min="6" max="6" width="18.28515625" style="269" hidden="1" customWidth="1"/>
    <col min="7" max="7" width="20.42578125" style="402" customWidth="1"/>
    <col min="8" max="8" width="14.28515625" style="269" customWidth="1"/>
    <col min="9" max="9" width="16.42578125" style="269" customWidth="1"/>
    <col min="10" max="10" width="46.140625" style="269" customWidth="1"/>
    <col min="11" max="12" width="11.85546875" style="269" customWidth="1"/>
    <col min="13" max="13" width="52.42578125" style="269" customWidth="1"/>
    <col min="14" max="14" width="10.7109375" style="217" bestFit="1" customWidth="1"/>
    <col min="15" max="16384" width="9.140625" style="217"/>
  </cols>
  <sheetData>
    <row r="1" spans="1:13" ht="126" x14ac:dyDescent="0.2">
      <c r="A1" s="229" t="s">
        <v>0</v>
      </c>
      <c r="B1" s="230" t="s">
        <v>659</v>
      </c>
      <c r="C1" s="140" t="s">
        <v>687</v>
      </c>
      <c r="D1" s="140" t="s">
        <v>682</v>
      </c>
      <c r="E1" s="551" t="s">
        <v>776</v>
      </c>
      <c r="F1" s="552" t="s">
        <v>777</v>
      </c>
      <c r="G1" s="551" t="s">
        <v>778</v>
      </c>
      <c r="H1" s="232" t="s">
        <v>689</v>
      </c>
      <c r="I1" s="203" t="s">
        <v>684</v>
      </c>
      <c r="J1" s="140" t="s">
        <v>680</v>
      </c>
      <c r="K1" s="232" t="s">
        <v>690</v>
      </c>
      <c r="L1" s="203" t="s">
        <v>686</v>
      </c>
      <c r="M1" s="140" t="s">
        <v>680</v>
      </c>
    </row>
    <row r="2" spans="1:13" x14ac:dyDescent="0.2">
      <c r="A2" s="229">
        <v>1</v>
      </c>
      <c r="B2" s="230">
        <v>2</v>
      </c>
      <c r="C2" s="140">
        <v>3</v>
      </c>
      <c r="D2" s="140">
        <v>4</v>
      </c>
      <c r="E2" s="551">
        <v>5</v>
      </c>
      <c r="F2" s="552">
        <v>6</v>
      </c>
      <c r="G2" s="551">
        <v>5</v>
      </c>
      <c r="H2" s="231">
        <v>8</v>
      </c>
      <c r="I2" s="181">
        <v>9</v>
      </c>
      <c r="J2" s="140">
        <v>10</v>
      </c>
      <c r="K2" s="232">
        <v>11</v>
      </c>
      <c r="L2" s="181">
        <v>12</v>
      </c>
      <c r="M2" s="140">
        <v>13</v>
      </c>
    </row>
    <row r="3" spans="1:13" ht="31.5" x14ac:dyDescent="0.2">
      <c r="A3" s="233" t="s">
        <v>1</v>
      </c>
      <c r="B3" s="259" t="s">
        <v>2</v>
      </c>
      <c r="C3" s="191">
        <f>C4+C22+C25+C29+C30+C31+C32+C33</f>
        <v>22837629.260000005</v>
      </c>
      <c r="D3" s="191">
        <v>23894033.032099999</v>
      </c>
      <c r="E3" s="191">
        <f>E4+E22+E25+E29+E30+E31+E32+E33</f>
        <v>22837629.260000005</v>
      </c>
      <c r="F3" s="191">
        <v>23894033.032099999</v>
      </c>
      <c r="G3" s="553">
        <f>G4+G22+G25+G29+G30+G31+G32+G33</f>
        <v>25002586.759999998</v>
      </c>
      <c r="H3" s="189">
        <f t="shared" ref="H3:H34" si="0">G3-F3</f>
        <v>1108553.7278999984</v>
      </c>
      <c r="I3" s="182">
        <f t="shared" ref="I3:I34" si="1">IFERROR(H3/ABS(F3), "-")</f>
        <v>4.6394584221539005E-2</v>
      </c>
      <c r="J3" s="331"/>
      <c r="K3" s="189">
        <f t="shared" ref="K3:K34" si="2">G3-E3</f>
        <v>2164957.4999999925</v>
      </c>
      <c r="L3" s="182">
        <f t="shared" ref="L3:L34" si="3">IFERROR(K3/ABS(E3), "-")</f>
        <v>9.4797821409243421E-2</v>
      </c>
      <c r="M3" s="331"/>
    </row>
    <row r="4" spans="1:13" s="235" customFormat="1" x14ac:dyDescent="0.2">
      <c r="A4" s="234" t="s">
        <v>118</v>
      </c>
      <c r="B4" s="254" t="s">
        <v>3</v>
      </c>
      <c r="C4" s="191">
        <f>C5+C10+C13+C16+C21</f>
        <v>20490208</v>
      </c>
      <c r="D4" s="191">
        <v>21183467.2256</v>
      </c>
      <c r="E4" s="191">
        <f>E5+E10+E13+E16+E21</f>
        <v>20490208</v>
      </c>
      <c r="F4" s="191">
        <v>21183467.2256</v>
      </c>
      <c r="G4" s="553">
        <f>G5+G10+G13+G16+G21</f>
        <v>22324146.77</v>
      </c>
      <c r="H4" s="189">
        <f t="shared" si="0"/>
        <v>1140679.5443999991</v>
      </c>
      <c r="I4" s="182">
        <f t="shared" si="1"/>
        <v>5.3847631846664822E-2</v>
      </c>
      <c r="J4" s="331"/>
      <c r="K4" s="189">
        <f t="shared" si="2"/>
        <v>1833938.7699999996</v>
      </c>
      <c r="L4" s="182">
        <f t="shared" si="3"/>
        <v>8.9503179762743232E-2</v>
      </c>
      <c r="M4" s="331"/>
    </row>
    <row r="5" spans="1:13" s="235" customFormat="1" ht="31.5" x14ac:dyDescent="0.2">
      <c r="A5" s="234" t="s">
        <v>119</v>
      </c>
      <c r="B5" s="254" t="s">
        <v>120</v>
      </c>
      <c r="C5" s="191">
        <f>SUM(C6:C9)</f>
        <v>19491338.48</v>
      </c>
      <c r="D5" s="191">
        <v>20123731</v>
      </c>
      <c r="E5" s="191">
        <f>SUM(E6:E9)</f>
        <v>19491338.48</v>
      </c>
      <c r="F5" s="191">
        <v>20123731</v>
      </c>
      <c r="G5" s="553">
        <f>G6+G7+G8+G9</f>
        <v>21136461.699999999</v>
      </c>
      <c r="H5" s="189">
        <f t="shared" si="0"/>
        <v>1012730.6999999993</v>
      </c>
      <c r="I5" s="182">
        <f t="shared" si="1"/>
        <v>5.0325195660784736E-2</v>
      </c>
      <c r="J5" s="243"/>
      <c r="K5" s="189">
        <f t="shared" si="2"/>
        <v>1645123.2199999988</v>
      </c>
      <c r="L5" s="182">
        <f t="shared" si="3"/>
        <v>8.4402783404949555E-2</v>
      </c>
      <c r="M5" s="243"/>
    </row>
    <row r="6" spans="1:13" ht="47.25" x14ac:dyDescent="0.2">
      <c r="A6" s="321" t="s">
        <v>121</v>
      </c>
      <c r="B6" s="322" t="s">
        <v>675</v>
      </c>
      <c r="C6" s="202">
        <v>18145765.93</v>
      </c>
      <c r="D6" s="202">
        <v>18497761</v>
      </c>
      <c r="E6" s="202">
        <v>18145765.93</v>
      </c>
      <c r="F6" s="202">
        <v>18497761</v>
      </c>
      <c r="G6" s="554">
        <f>19494549.66+7912.56</f>
        <v>19502462.219999999</v>
      </c>
      <c r="H6" s="189">
        <f t="shared" si="0"/>
        <v>1004701.2199999988</v>
      </c>
      <c r="I6" s="182">
        <f t="shared" si="1"/>
        <v>5.4314747606480522E-2</v>
      </c>
      <c r="J6" s="652" t="s">
        <v>789</v>
      </c>
      <c r="K6" s="195">
        <f t="shared" si="2"/>
        <v>1356696.2899999991</v>
      </c>
      <c r="L6" s="203">
        <f t="shared" si="3"/>
        <v>7.4766548584041997E-2</v>
      </c>
      <c r="M6" s="653" t="s">
        <v>790</v>
      </c>
    </row>
    <row r="7" spans="1:13" ht="78.75" x14ac:dyDescent="0.2">
      <c r="A7" s="236" t="s">
        <v>122</v>
      </c>
      <c r="B7" s="266" t="s">
        <v>5</v>
      </c>
      <c r="C7" s="202">
        <v>69276.39</v>
      </c>
      <c r="D7" s="202">
        <v>62888</v>
      </c>
      <c r="E7" s="202">
        <v>69276.39</v>
      </c>
      <c r="F7" s="202">
        <v>62888</v>
      </c>
      <c r="G7" s="555">
        <f>128440+50</f>
        <v>128490</v>
      </c>
      <c r="H7" s="189">
        <f t="shared" si="0"/>
        <v>65602</v>
      </c>
      <c r="I7" s="182">
        <f t="shared" si="1"/>
        <v>1.0431560870118306</v>
      </c>
      <c r="J7" s="652" t="s">
        <v>741</v>
      </c>
      <c r="K7" s="183">
        <f t="shared" si="2"/>
        <v>59213.61</v>
      </c>
      <c r="L7" s="184">
        <f t="shared" si="3"/>
        <v>0.85474445189768122</v>
      </c>
      <c r="M7" s="652" t="s">
        <v>742</v>
      </c>
    </row>
    <row r="8" spans="1:13" ht="63" x14ac:dyDescent="0.2">
      <c r="A8" s="236" t="s">
        <v>123</v>
      </c>
      <c r="B8" s="266" t="s">
        <v>6</v>
      </c>
      <c r="C8" s="202">
        <v>1261911.3999999999</v>
      </c>
      <c r="D8" s="202">
        <v>1531311</v>
      </c>
      <c r="E8" s="202">
        <v>1261911.3999999999</v>
      </c>
      <c r="F8" s="202">
        <v>1531311</v>
      </c>
      <c r="G8" s="555">
        <f>1464733.4-37.76</f>
        <v>1464695.64</v>
      </c>
      <c r="H8" s="189">
        <f t="shared" si="0"/>
        <v>-66615.360000000102</v>
      </c>
      <c r="I8" s="182">
        <f t="shared" si="1"/>
        <v>-4.3502175586801181E-2</v>
      </c>
      <c r="J8" s="243"/>
      <c r="K8" s="183">
        <f t="shared" si="2"/>
        <v>202784.24</v>
      </c>
      <c r="L8" s="184">
        <f t="shared" si="3"/>
        <v>0.16069609958353653</v>
      </c>
      <c r="M8" s="652" t="s">
        <v>743</v>
      </c>
    </row>
    <row r="9" spans="1:13" ht="78.75" x14ac:dyDescent="0.2">
      <c r="A9" s="236" t="s">
        <v>124</v>
      </c>
      <c r="B9" s="266" t="s">
        <v>7</v>
      </c>
      <c r="C9" s="202">
        <v>14384.76</v>
      </c>
      <c r="D9" s="202">
        <v>31771</v>
      </c>
      <c r="E9" s="202">
        <v>14384.76</v>
      </c>
      <c r="F9" s="202">
        <v>31771</v>
      </c>
      <c r="G9" s="555">
        <v>40813.839999999997</v>
      </c>
      <c r="H9" s="189">
        <f t="shared" si="0"/>
        <v>9042.8399999999965</v>
      </c>
      <c r="I9" s="182">
        <f t="shared" si="1"/>
        <v>0.28462560196405517</v>
      </c>
      <c r="J9" s="652" t="s">
        <v>741</v>
      </c>
      <c r="K9" s="183">
        <f t="shared" si="2"/>
        <v>26429.079999999994</v>
      </c>
      <c r="L9" s="184">
        <f>IFERROR(K9/ABS(E9), "-")</f>
        <v>1.8372972507014365</v>
      </c>
      <c r="M9" s="652" t="s">
        <v>742</v>
      </c>
    </row>
    <row r="10" spans="1:13" x14ac:dyDescent="0.2">
      <c r="A10" s="234" t="s">
        <v>125</v>
      </c>
      <c r="B10" s="254" t="s">
        <v>126</v>
      </c>
      <c r="C10" s="191">
        <v>0</v>
      </c>
      <c r="D10" s="191">
        <v>0</v>
      </c>
      <c r="E10" s="191">
        <v>0</v>
      </c>
      <c r="F10" s="191">
        <v>0</v>
      </c>
      <c r="G10" s="553">
        <v>0</v>
      </c>
      <c r="H10" s="189">
        <f t="shared" si="0"/>
        <v>0</v>
      </c>
      <c r="I10" s="182" t="str">
        <f t="shared" si="1"/>
        <v>-</v>
      </c>
      <c r="J10" s="762"/>
      <c r="K10" s="189">
        <f t="shared" si="2"/>
        <v>0</v>
      </c>
      <c r="L10" s="182" t="str">
        <f t="shared" si="3"/>
        <v>-</v>
      </c>
      <c r="M10" s="762"/>
    </row>
    <row r="11" spans="1:13" x14ac:dyDescent="0.2">
      <c r="A11" s="236" t="s">
        <v>127</v>
      </c>
      <c r="B11" s="266" t="s">
        <v>128</v>
      </c>
      <c r="C11" s="202">
        <v>0</v>
      </c>
      <c r="D11" s="202">
        <v>0</v>
      </c>
      <c r="E11" s="202">
        <v>0</v>
      </c>
      <c r="F11" s="202">
        <v>0</v>
      </c>
      <c r="G11" s="555">
        <v>0</v>
      </c>
      <c r="H11" s="189">
        <f t="shared" si="0"/>
        <v>0</v>
      </c>
      <c r="I11" s="182" t="str">
        <f t="shared" si="1"/>
        <v>-</v>
      </c>
      <c r="J11" s="763"/>
      <c r="K11" s="183">
        <f t="shared" si="2"/>
        <v>0</v>
      </c>
      <c r="L11" s="184" t="str">
        <f t="shared" si="3"/>
        <v>-</v>
      </c>
      <c r="M11" s="763"/>
    </row>
    <row r="12" spans="1:13" ht="15" customHeight="1" x14ac:dyDescent="0.2">
      <c r="A12" s="236" t="s">
        <v>129</v>
      </c>
      <c r="B12" s="266" t="s">
        <v>130</v>
      </c>
      <c r="C12" s="202">
        <v>0</v>
      </c>
      <c r="D12" s="202">
        <v>0</v>
      </c>
      <c r="E12" s="202">
        <v>0</v>
      </c>
      <c r="F12" s="202">
        <v>0</v>
      </c>
      <c r="G12" s="555">
        <v>0</v>
      </c>
      <c r="H12" s="189">
        <f t="shared" si="0"/>
        <v>0</v>
      </c>
      <c r="I12" s="182" t="str">
        <f t="shared" si="1"/>
        <v>-</v>
      </c>
      <c r="J12" s="764"/>
      <c r="K12" s="183">
        <f t="shared" si="2"/>
        <v>0</v>
      </c>
      <c r="L12" s="184" t="str">
        <f t="shared" si="3"/>
        <v>-</v>
      </c>
      <c r="M12" s="764"/>
    </row>
    <row r="13" spans="1:13" ht="31.5" x14ac:dyDescent="0.2">
      <c r="A13" s="234" t="s">
        <v>131</v>
      </c>
      <c r="B13" s="254" t="s">
        <v>132</v>
      </c>
      <c r="C13" s="191">
        <f t="shared" ref="C13:E13" si="4">SUM(C14:C15)</f>
        <v>753757.78</v>
      </c>
      <c r="D13" s="191">
        <v>807162.44859999989</v>
      </c>
      <c r="E13" s="191">
        <f t="shared" si="4"/>
        <v>753757.78</v>
      </c>
      <c r="F13" s="191">
        <v>807162.44859999989</v>
      </c>
      <c r="G13" s="553">
        <f>G14+G15</f>
        <v>878684.91</v>
      </c>
      <c r="H13" s="189">
        <f t="shared" si="0"/>
        <v>71522.461400000146</v>
      </c>
      <c r="I13" s="182">
        <f t="shared" si="1"/>
        <v>8.8609748290513018E-2</v>
      </c>
      <c r="J13" s="769" t="s">
        <v>751</v>
      </c>
      <c r="K13" s="189">
        <f t="shared" si="2"/>
        <v>124927.13</v>
      </c>
      <c r="L13" s="182">
        <f t="shared" si="3"/>
        <v>0.16573909194011902</v>
      </c>
      <c r="M13" s="769" t="s">
        <v>694</v>
      </c>
    </row>
    <row r="14" spans="1:13" ht="84" customHeight="1" x14ac:dyDescent="0.2">
      <c r="A14" s="236" t="s">
        <v>133</v>
      </c>
      <c r="B14" s="266" t="s">
        <v>134</v>
      </c>
      <c r="C14" s="202">
        <v>753757.78</v>
      </c>
      <c r="D14" s="202">
        <v>807162.44859999989</v>
      </c>
      <c r="E14" s="202">
        <v>753757.78</v>
      </c>
      <c r="F14" s="202">
        <v>807162.44859999989</v>
      </c>
      <c r="G14" s="555">
        <f>844.23+870829.04+7011.64</f>
        <v>878684.91</v>
      </c>
      <c r="H14" s="189">
        <f t="shared" si="0"/>
        <v>71522.461400000146</v>
      </c>
      <c r="I14" s="182">
        <f t="shared" si="1"/>
        <v>8.8609748290513018E-2</v>
      </c>
      <c r="J14" s="770"/>
      <c r="K14" s="183">
        <f t="shared" si="2"/>
        <v>124927.13</v>
      </c>
      <c r="L14" s="184">
        <f t="shared" si="3"/>
        <v>0.16573909194011902</v>
      </c>
      <c r="M14" s="770"/>
    </row>
    <row r="15" spans="1:13" ht="33.75" customHeight="1" x14ac:dyDescent="0.2">
      <c r="A15" s="236" t="s">
        <v>135</v>
      </c>
      <c r="B15" s="266" t="s">
        <v>416</v>
      </c>
      <c r="C15" s="202">
        <v>0</v>
      </c>
      <c r="D15" s="202">
        <v>0</v>
      </c>
      <c r="E15" s="202">
        <v>0</v>
      </c>
      <c r="F15" s="202">
        <v>0</v>
      </c>
      <c r="G15" s="555">
        <v>0</v>
      </c>
      <c r="H15" s="189">
        <f t="shared" si="0"/>
        <v>0</v>
      </c>
      <c r="I15" s="182" t="str">
        <f t="shared" si="1"/>
        <v>-</v>
      </c>
      <c r="J15" s="771"/>
      <c r="K15" s="183">
        <f t="shared" si="2"/>
        <v>0</v>
      </c>
      <c r="L15" s="184" t="str">
        <f t="shared" si="3"/>
        <v>-</v>
      </c>
      <c r="M15" s="771"/>
    </row>
    <row r="16" spans="1:13" ht="15.75" customHeight="1" x14ac:dyDescent="0.2">
      <c r="A16" s="234" t="s">
        <v>136</v>
      </c>
      <c r="B16" s="254" t="s">
        <v>107</v>
      </c>
      <c r="C16" s="191">
        <f t="shared" ref="C16:E16" si="5">SUM(C17:C20)</f>
        <v>245111.74</v>
      </c>
      <c r="D16" s="191">
        <v>252573.777</v>
      </c>
      <c r="E16" s="191">
        <f t="shared" si="5"/>
        <v>245111.74</v>
      </c>
      <c r="F16" s="191">
        <v>252573.777</v>
      </c>
      <c r="G16" s="553">
        <f>G17+G18+G19+G20</f>
        <v>309000.16000000003</v>
      </c>
      <c r="H16" s="189">
        <f t="shared" si="0"/>
        <v>56426.383000000031</v>
      </c>
      <c r="I16" s="182">
        <f t="shared" si="1"/>
        <v>0.22340554775803204</v>
      </c>
      <c r="J16" s="757" t="s">
        <v>755</v>
      </c>
      <c r="K16" s="189">
        <f t="shared" si="2"/>
        <v>63888.420000000042</v>
      </c>
      <c r="L16" s="182">
        <f t="shared" si="3"/>
        <v>0.26065018346326474</v>
      </c>
      <c r="M16" s="757" t="s">
        <v>755</v>
      </c>
    </row>
    <row r="17" spans="1:13" x14ac:dyDescent="0.2">
      <c r="A17" s="236" t="s">
        <v>137</v>
      </c>
      <c r="B17" s="266" t="s">
        <v>8</v>
      </c>
      <c r="C17" s="202">
        <v>0</v>
      </c>
      <c r="D17" s="202">
        <v>0</v>
      </c>
      <c r="E17" s="202">
        <v>0</v>
      </c>
      <c r="F17" s="202">
        <v>0</v>
      </c>
      <c r="G17" s="555">
        <v>0</v>
      </c>
      <c r="H17" s="189">
        <f t="shared" si="0"/>
        <v>0</v>
      </c>
      <c r="I17" s="182" t="str">
        <f t="shared" si="1"/>
        <v>-</v>
      </c>
      <c r="J17" s="758"/>
      <c r="K17" s="183">
        <f t="shared" si="2"/>
        <v>0</v>
      </c>
      <c r="L17" s="184" t="str">
        <f t="shared" si="3"/>
        <v>-</v>
      </c>
      <c r="M17" s="758"/>
    </row>
    <row r="18" spans="1:13" ht="31.5" x14ac:dyDescent="0.2">
      <c r="A18" s="236" t="s">
        <v>138</v>
      </c>
      <c r="B18" s="322" t="s">
        <v>9</v>
      </c>
      <c r="C18" s="211">
        <v>245111.74</v>
      </c>
      <c r="D18" s="211">
        <v>252573.777</v>
      </c>
      <c r="E18" s="211">
        <v>245111.74</v>
      </c>
      <c r="F18" s="211">
        <v>252573.777</v>
      </c>
      <c r="G18" s="554">
        <f>136339.69+172660.47</f>
        <v>309000.16000000003</v>
      </c>
      <c r="H18" s="189">
        <f t="shared" si="0"/>
        <v>56426.383000000031</v>
      </c>
      <c r="I18" s="182">
        <f>IFERROR(H18/ABS(F18), "-")</f>
        <v>0.22340554775803204</v>
      </c>
      <c r="J18" s="758"/>
      <c r="K18" s="183">
        <f>G18-E18</f>
        <v>63888.420000000042</v>
      </c>
      <c r="L18" s="184">
        <f t="shared" si="3"/>
        <v>0.26065018346326474</v>
      </c>
      <c r="M18" s="758"/>
    </row>
    <row r="19" spans="1:13" ht="31.5" x14ac:dyDescent="0.2">
      <c r="A19" s="236" t="s">
        <v>139</v>
      </c>
      <c r="B19" s="266" t="s">
        <v>11</v>
      </c>
      <c r="C19" s="202">
        <v>0</v>
      </c>
      <c r="D19" s="202">
        <v>0</v>
      </c>
      <c r="E19" s="202">
        <v>0</v>
      </c>
      <c r="F19" s="202">
        <v>0</v>
      </c>
      <c r="G19" s="555">
        <v>0</v>
      </c>
      <c r="H19" s="189">
        <f t="shared" si="0"/>
        <v>0</v>
      </c>
      <c r="I19" s="182" t="str">
        <f t="shared" si="1"/>
        <v>-</v>
      </c>
      <c r="J19" s="758"/>
      <c r="K19" s="183">
        <f t="shared" si="2"/>
        <v>0</v>
      </c>
      <c r="L19" s="184" t="str">
        <f t="shared" si="3"/>
        <v>-</v>
      </c>
      <c r="M19" s="758"/>
    </row>
    <row r="20" spans="1:13" x14ac:dyDescent="0.2">
      <c r="A20" s="236" t="s">
        <v>140</v>
      </c>
      <c r="B20" s="266" t="s">
        <v>12</v>
      </c>
      <c r="C20" s="202">
        <v>0</v>
      </c>
      <c r="D20" s="202">
        <v>0</v>
      </c>
      <c r="E20" s="202">
        <v>0</v>
      </c>
      <c r="F20" s="202">
        <v>0</v>
      </c>
      <c r="G20" s="555">
        <v>0</v>
      </c>
      <c r="H20" s="189">
        <f t="shared" si="0"/>
        <v>0</v>
      </c>
      <c r="I20" s="182" t="str">
        <f t="shared" si="1"/>
        <v>-</v>
      </c>
      <c r="J20" s="759"/>
      <c r="K20" s="183">
        <f t="shared" si="2"/>
        <v>0</v>
      </c>
      <c r="L20" s="184" t="str">
        <f t="shared" si="3"/>
        <v>-</v>
      </c>
      <c r="M20" s="759"/>
    </row>
    <row r="21" spans="1:13" ht="31.5" x14ac:dyDescent="0.2">
      <c r="A21" s="234" t="s">
        <v>411</v>
      </c>
      <c r="B21" s="254" t="s">
        <v>412</v>
      </c>
      <c r="C21" s="201">
        <v>0</v>
      </c>
      <c r="D21" s="201">
        <v>0</v>
      </c>
      <c r="E21" s="201">
        <v>0</v>
      </c>
      <c r="F21" s="201">
        <v>0</v>
      </c>
      <c r="G21" s="556">
        <v>0</v>
      </c>
      <c r="H21" s="189">
        <f t="shared" si="0"/>
        <v>0</v>
      </c>
      <c r="I21" s="182" t="str">
        <f t="shared" si="1"/>
        <v>-</v>
      </c>
      <c r="J21" s="332"/>
      <c r="K21" s="185">
        <f t="shared" si="2"/>
        <v>0</v>
      </c>
      <c r="L21" s="182" t="str">
        <f t="shared" si="3"/>
        <v>-</v>
      </c>
      <c r="M21" s="332"/>
    </row>
    <row r="22" spans="1:13" s="235" customFormat="1" x14ac:dyDescent="0.2">
      <c r="A22" s="234" t="s">
        <v>141</v>
      </c>
      <c r="B22" s="254" t="s">
        <v>13</v>
      </c>
      <c r="C22" s="191">
        <v>0</v>
      </c>
      <c r="D22" s="191">
        <v>0</v>
      </c>
      <c r="E22" s="191">
        <v>0</v>
      </c>
      <c r="F22" s="191">
        <v>0</v>
      </c>
      <c r="G22" s="553">
        <v>0</v>
      </c>
      <c r="H22" s="189">
        <f t="shared" si="0"/>
        <v>0</v>
      </c>
      <c r="I22" s="182" t="str">
        <f t="shared" si="1"/>
        <v>-</v>
      </c>
      <c r="J22" s="762"/>
      <c r="K22" s="189">
        <f t="shared" si="2"/>
        <v>0</v>
      </c>
      <c r="L22" s="182" t="str">
        <f t="shared" si="3"/>
        <v>-</v>
      </c>
      <c r="M22" s="762"/>
    </row>
    <row r="23" spans="1:13" x14ac:dyDescent="0.2">
      <c r="A23" s="236" t="s">
        <v>142</v>
      </c>
      <c r="B23" s="266" t="s">
        <v>414</v>
      </c>
      <c r="C23" s="202">
        <v>0</v>
      </c>
      <c r="D23" s="202">
        <v>0</v>
      </c>
      <c r="E23" s="202">
        <v>0</v>
      </c>
      <c r="F23" s="202">
        <v>0</v>
      </c>
      <c r="G23" s="555">
        <v>0</v>
      </c>
      <c r="H23" s="189">
        <f t="shared" si="0"/>
        <v>0</v>
      </c>
      <c r="I23" s="182" t="str">
        <f t="shared" si="1"/>
        <v>-</v>
      </c>
      <c r="J23" s="763"/>
      <c r="K23" s="183">
        <f t="shared" si="2"/>
        <v>0</v>
      </c>
      <c r="L23" s="184" t="str">
        <f t="shared" si="3"/>
        <v>-</v>
      </c>
      <c r="M23" s="763"/>
    </row>
    <row r="24" spans="1:13" x14ac:dyDescent="0.2">
      <c r="A24" s="236" t="s">
        <v>413</v>
      </c>
      <c r="B24" s="266" t="s">
        <v>415</v>
      </c>
      <c r="C24" s="202">
        <v>0</v>
      </c>
      <c r="D24" s="202">
        <v>0</v>
      </c>
      <c r="E24" s="202">
        <v>0</v>
      </c>
      <c r="F24" s="202">
        <v>0</v>
      </c>
      <c r="G24" s="555">
        <v>0</v>
      </c>
      <c r="H24" s="189">
        <f t="shared" si="0"/>
        <v>0</v>
      </c>
      <c r="I24" s="182" t="str">
        <f t="shared" si="1"/>
        <v>-</v>
      </c>
      <c r="J24" s="764"/>
      <c r="K24" s="183">
        <f t="shared" si="2"/>
        <v>0</v>
      </c>
      <c r="L24" s="184" t="str">
        <f t="shared" si="3"/>
        <v>-</v>
      </c>
      <c r="M24" s="764"/>
    </row>
    <row r="25" spans="1:13" s="235" customFormat="1" x14ac:dyDescent="0.2">
      <c r="A25" s="234" t="s">
        <v>143</v>
      </c>
      <c r="B25" s="254" t="s">
        <v>14</v>
      </c>
      <c r="C25" s="191">
        <f t="shared" ref="C25:E25" si="6">SUM(C26:C28)</f>
        <v>1363317.9900000002</v>
      </c>
      <c r="D25" s="191">
        <v>1678028.6835</v>
      </c>
      <c r="E25" s="191">
        <f t="shared" si="6"/>
        <v>1363317.9900000002</v>
      </c>
      <c r="F25" s="191">
        <v>1678028.6835</v>
      </c>
      <c r="G25" s="553">
        <f>G26+G27+G28</f>
        <v>1674733.6</v>
      </c>
      <c r="H25" s="189">
        <f t="shared" si="0"/>
        <v>-3295.0834999999497</v>
      </c>
      <c r="I25" s="182">
        <f t="shared" si="1"/>
        <v>-1.9636633940768688E-3</v>
      </c>
      <c r="J25" s="757" t="s">
        <v>696</v>
      </c>
      <c r="K25" s="189">
        <f t="shared" si="2"/>
        <v>311415.60999999987</v>
      </c>
      <c r="L25" s="182">
        <f t="shared" si="3"/>
        <v>0.22842477858008742</v>
      </c>
      <c r="M25" s="757" t="s">
        <v>750</v>
      </c>
    </row>
    <row r="26" spans="1:13" x14ac:dyDescent="0.2">
      <c r="A26" s="236" t="s">
        <v>289</v>
      </c>
      <c r="B26" s="266" t="s">
        <v>144</v>
      </c>
      <c r="C26" s="202">
        <v>1123394.3500000001</v>
      </c>
      <c r="D26" s="202">
        <v>1412078.5345000001</v>
      </c>
      <c r="E26" s="202">
        <v>1123394.3500000001</v>
      </c>
      <c r="F26" s="202">
        <v>1412078.5345000001</v>
      </c>
      <c r="G26" s="555">
        <f>1359899.36+799</f>
        <v>1360698.36</v>
      </c>
      <c r="H26" s="189">
        <f t="shared" si="0"/>
        <v>-51380.174499999965</v>
      </c>
      <c r="I26" s="182">
        <f t="shared" si="1"/>
        <v>-3.6386201790251746E-2</v>
      </c>
      <c r="J26" s="758"/>
      <c r="K26" s="183">
        <f t="shared" si="2"/>
        <v>237304.01</v>
      </c>
      <c r="L26" s="184">
        <f t="shared" si="3"/>
        <v>0.21123838659149388</v>
      </c>
      <c r="M26" s="775"/>
    </row>
    <row r="27" spans="1:13" x14ac:dyDescent="0.2">
      <c r="A27" s="236" t="s">
        <v>290</v>
      </c>
      <c r="B27" s="266" t="s">
        <v>145</v>
      </c>
      <c r="C27" s="202"/>
      <c r="D27" s="202">
        <v>0</v>
      </c>
      <c r="E27" s="202"/>
      <c r="F27" s="202">
        <v>0</v>
      </c>
      <c r="G27" s="555"/>
      <c r="H27" s="189">
        <f t="shared" si="0"/>
        <v>0</v>
      </c>
      <c r="I27" s="182" t="str">
        <f t="shared" si="1"/>
        <v>-</v>
      </c>
      <c r="J27" s="758"/>
      <c r="K27" s="183">
        <f t="shared" si="2"/>
        <v>0</v>
      </c>
      <c r="L27" s="184" t="str">
        <f t="shared" si="3"/>
        <v>-</v>
      </c>
      <c r="M27" s="775"/>
    </row>
    <row r="28" spans="1:13" x14ac:dyDescent="0.2">
      <c r="A28" s="236" t="s">
        <v>146</v>
      </c>
      <c r="B28" s="266" t="s">
        <v>15</v>
      </c>
      <c r="C28" s="202">
        <v>239923.64</v>
      </c>
      <c r="D28" s="202">
        <v>265950.14900000003</v>
      </c>
      <c r="E28" s="202">
        <v>239923.64</v>
      </c>
      <c r="F28" s="202">
        <v>265950.14900000003</v>
      </c>
      <c r="G28" s="555">
        <v>314035.24</v>
      </c>
      <c r="H28" s="189">
        <f t="shared" si="0"/>
        <v>48085.090999999957</v>
      </c>
      <c r="I28" s="182">
        <f t="shared" si="1"/>
        <v>0.18080490340315603</v>
      </c>
      <c r="J28" s="759"/>
      <c r="K28" s="183">
        <f t="shared" si="2"/>
        <v>74111.599999999977</v>
      </c>
      <c r="L28" s="184">
        <f t="shared" si="3"/>
        <v>0.30889661393933493</v>
      </c>
      <c r="M28" s="776"/>
    </row>
    <row r="29" spans="1:13" ht="31.5" x14ac:dyDescent="0.2">
      <c r="A29" s="237" t="s">
        <v>149</v>
      </c>
      <c r="B29" s="263" t="s">
        <v>16</v>
      </c>
      <c r="C29" s="212">
        <v>283132</v>
      </c>
      <c r="D29" s="212">
        <v>291911.13</v>
      </c>
      <c r="E29" s="212">
        <v>283132</v>
      </c>
      <c r="F29" s="212">
        <v>291911.13</v>
      </c>
      <c r="G29" s="557">
        <v>286043.28999999998</v>
      </c>
      <c r="H29" s="189">
        <f t="shared" si="0"/>
        <v>-5867.8400000000256</v>
      </c>
      <c r="I29" s="182">
        <f t="shared" si="1"/>
        <v>-2.0101460331437261E-2</v>
      </c>
      <c r="J29" s="333"/>
      <c r="K29" s="186">
        <f t="shared" si="2"/>
        <v>2911.289999999979</v>
      </c>
      <c r="L29" s="187">
        <f t="shared" si="3"/>
        <v>1.0282447762880844E-2</v>
      </c>
      <c r="M29" s="333"/>
    </row>
    <row r="30" spans="1:13" ht="31.5" x14ac:dyDescent="0.2">
      <c r="A30" s="237" t="s">
        <v>150</v>
      </c>
      <c r="B30" s="263" t="s">
        <v>17</v>
      </c>
      <c r="C30" s="212">
        <v>310593.34999999998</v>
      </c>
      <c r="D30" s="212">
        <v>320036.19300000003</v>
      </c>
      <c r="E30" s="212">
        <v>310593.34999999998</v>
      </c>
      <c r="F30" s="212">
        <v>320036.19300000003</v>
      </c>
      <c r="G30" s="557">
        <v>307255.90000000002</v>
      </c>
      <c r="H30" s="189">
        <f t="shared" si="0"/>
        <v>-12780.293000000005</v>
      </c>
      <c r="I30" s="182">
        <f t="shared" si="1"/>
        <v>-3.9933898976232368E-2</v>
      </c>
      <c r="J30" s="333"/>
      <c r="K30" s="186">
        <f t="shared" si="2"/>
        <v>-3337.4499999999534</v>
      </c>
      <c r="L30" s="187">
        <f t="shared" si="3"/>
        <v>-1.074540069837282E-2</v>
      </c>
      <c r="M30" s="333"/>
    </row>
    <row r="31" spans="1:13" x14ac:dyDescent="0.2">
      <c r="A31" s="237" t="s">
        <v>151</v>
      </c>
      <c r="B31" s="263" t="s">
        <v>18</v>
      </c>
      <c r="C31" s="212"/>
      <c r="D31" s="212">
        <v>0</v>
      </c>
      <c r="E31" s="212"/>
      <c r="F31" s="212">
        <v>0</v>
      </c>
      <c r="G31" s="557"/>
      <c r="H31" s="189">
        <f t="shared" si="0"/>
        <v>0</v>
      </c>
      <c r="I31" s="182" t="str">
        <f t="shared" si="1"/>
        <v>-</v>
      </c>
      <c r="J31" s="332"/>
      <c r="K31" s="186">
        <f t="shared" si="2"/>
        <v>0</v>
      </c>
      <c r="L31" s="187" t="str">
        <f t="shared" si="3"/>
        <v>-</v>
      </c>
      <c r="M31" s="332"/>
    </row>
    <row r="32" spans="1:13" s="235" customFormat="1" x14ac:dyDescent="0.2">
      <c r="A32" s="237" t="s">
        <v>152</v>
      </c>
      <c r="B32" s="323" t="s">
        <v>19</v>
      </c>
      <c r="C32" s="213">
        <v>146533</v>
      </c>
      <c r="D32" s="212">
        <v>149910.64000000001</v>
      </c>
      <c r="E32" s="213">
        <v>146533</v>
      </c>
      <c r="F32" s="212">
        <v>149910.64000000001</v>
      </c>
      <c r="G32" s="558">
        <v>148992</v>
      </c>
      <c r="H32" s="189">
        <f t="shared" si="0"/>
        <v>-918.64000000001397</v>
      </c>
      <c r="I32" s="182">
        <f t="shared" si="1"/>
        <v>-6.1279172712491517E-3</v>
      </c>
      <c r="J32" s="644"/>
      <c r="K32" s="186">
        <f>G32-E32</f>
        <v>2459</v>
      </c>
      <c r="L32" s="187">
        <f t="shared" si="3"/>
        <v>1.6781202868978318E-2</v>
      </c>
      <c r="M32" s="333"/>
    </row>
    <row r="33" spans="1:13" s="238" customFormat="1" ht="47.25" x14ac:dyDescent="0.2">
      <c r="A33" s="239" t="s">
        <v>153</v>
      </c>
      <c r="B33" s="324" t="s">
        <v>331</v>
      </c>
      <c r="C33" s="214">
        <f>232443.07+11401.85</f>
        <v>243844.92</v>
      </c>
      <c r="D33" s="215">
        <v>270679.15999999997</v>
      </c>
      <c r="E33" s="214">
        <f>232443.07+11401.85</f>
        <v>243844.92</v>
      </c>
      <c r="F33" s="215">
        <v>270679.15999999997</v>
      </c>
      <c r="G33" s="559">
        <f>261415.2</f>
        <v>261415.2</v>
      </c>
      <c r="H33" s="189">
        <f t="shared" si="0"/>
        <v>-9263.9599999999627</v>
      </c>
      <c r="I33" s="182">
        <f t="shared" si="1"/>
        <v>-3.4224873462737081E-2</v>
      </c>
      <c r="J33" s="333"/>
      <c r="K33" s="240">
        <f t="shared" si="2"/>
        <v>17570.28</v>
      </c>
      <c r="L33" s="188">
        <f t="shared" si="3"/>
        <v>7.2055140619702057E-2</v>
      </c>
      <c r="M33" s="654" t="s">
        <v>695</v>
      </c>
    </row>
    <row r="34" spans="1:13" ht="47.25" x14ac:dyDescent="0.2">
      <c r="A34" s="233" t="s">
        <v>20</v>
      </c>
      <c r="B34" s="259" t="s">
        <v>341</v>
      </c>
      <c r="C34" s="191">
        <f>C35+C59+C150</f>
        <v>21184438.690000001</v>
      </c>
      <c r="D34" s="191">
        <v>22740448.660044245</v>
      </c>
      <c r="E34" s="191">
        <f>E35+E59+E150</f>
        <v>21184438.690000001</v>
      </c>
      <c r="F34" s="191">
        <v>22740448.660044245</v>
      </c>
      <c r="G34" s="553">
        <f>G35+G59+G150</f>
        <v>24038354.210000001</v>
      </c>
      <c r="H34" s="189">
        <f t="shared" si="0"/>
        <v>1297905.5499557555</v>
      </c>
      <c r="I34" s="182">
        <f t="shared" si="1"/>
        <v>5.7074755619761379E-2</v>
      </c>
      <c r="J34" s="331"/>
      <c r="K34" s="189">
        <f t="shared" si="2"/>
        <v>2853915.5199999996</v>
      </c>
      <c r="L34" s="182">
        <f t="shared" si="3"/>
        <v>0.13471754252083037</v>
      </c>
      <c r="M34" s="331"/>
    </row>
    <row r="35" spans="1:13" s="235" customFormat="1" x14ac:dyDescent="0.2">
      <c r="A35" s="233" t="s">
        <v>21</v>
      </c>
      <c r="B35" s="254" t="s">
        <v>22</v>
      </c>
      <c r="C35" s="366">
        <v>13350264</v>
      </c>
      <c r="D35" s="191">
        <v>13954841.394299997</v>
      </c>
      <c r="E35" s="366">
        <v>13350264</v>
      </c>
      <c r="F35" s="191">
        <v>13954841.394299997</v>
      </c>
      <c r="G35" s="553">
        <f>G36+G51</f>
        <v>14690726.540000001</v>
      </c>
      <c r="H35" s="189">
        <f t="shared" ref="H35:H66" si="7">G35-F35</f>
        <v>735885.14570000395</v>
      </c>
      <c r="I35" s="190">
        <f t="shared" ref="I35:I66" si="8">IFERROR(H35/ABS(F35), "-")</f>
        <v>5.2733322071333896E-2</v>
      </c>
      <c r="J35" s="331"/>
      <c r="K35" s="189">
        <f t="shared" ref="K35:K66" si="9">G35-E35</f>
        <v>1340462.540000001</v>
      </c>
      <c r="L35" s="190">
        <f t="shared" ref="L35:L66" si="10">IFERROR(K35/ABS(E35), "-")</f>
        <v>0.10040719344576264</v>
      </c>
      <c r="M35" s="331"/>
    </row>
    <row r="36" spans="1:13" s="235" customFormat="1" x14ac:dyDescent="0.2">
      <c r="A36" s="233">
        <v>1100</v>
      </c>
      <c r="B36" s="325" t="s">
        <v>23</v>
      </c>
      <c r="C36" s="366">
        <v>10765796</v>
      </c>
      <c r="D36" s="191">
        <v>11240563.328</v>
      </c>
      <c r="E36" s="366">
        <v>10765796</v>
      </c>
      <c r="F36" s="191">
        <v>11240563.328</v>
      </c>
      <c r="G36" s="553">
        <f>G37+G40+G49+G50</f>
        <v>11723439.600000001</v>
      </c>
      <c r="H36" s="189">
        <f t="shared" si="7"/>
        <v>482876.27200000174</v>
      </c>
      <c r="I36" s="190">
        <f t="shared" si="8"/>
        <v>4.2958369425949265E-2</v>
      </c>
      <c r="J36" s="334"/>
      <c r="K36" s="189">
        <f t="shared" si="9"/>
        <v>957643.60000000149</v>
      </c>
      <c r="L36" s="190">
        <f t="shared" si="10"/>
        <v>8.8952419310193279E-2</v>
      </c>
      <c r="M36" s="334"/>
    </row>
    <row r="37" spans="1:13" ht="29.25" customHeight="1" x14ac:dyDescent="0.2">
      <c r="A37" s="241">
        <v>1110</v>
      </c>
      <c r="B37" s="326" t="s">
        <v>24</v>
      </c>
      <c r="C37" s="365">
        <v>8019091</v>
      </c>
      <c r="D37" s="192">
        <v>8345489.7300000004</v>
      </c>
      <c r="E37" s="365">
        <v>8019091</v>
      </c>
      <c r="F37" s="192">
        <v>8345489.7300000004</v>
      </c>
      <c r="G37" s="645">
        <f t="shared" ref="G37" si="11">G38+G39</f>
        <v>8471096.2400000002</v>
      </c>
      <c r="H37" s="189">
        <f t="shared" si="7"/>
        <v>125606.50999999978</v>
      </c>
      <c r="I37" s="190">
        <f t="shared" si="8"/>
        <v>1.5050825543344089E-2</v>
      </c>
      <c r="J37" s="389"/>
      <c r="K37" s="193">
        <f t="shared" si="9"/>
        <v>452005.24000000022</v>
      </c>
      <c r="L37" s="194">
        <f t="shared" si="10"/>
        <v>5.636614424253325E-2</v>
      </c>
      <c r="M37" s="777" t="s">
        <v>818</v>
      </c>
    </row>
    <row r="38" spans="1:13" ht="29.25" customHeight="1" x14ac:dyDescent="0.2">
      <c r="A38" s="242">
        <v>1111</v>
      </c>
      <c r="B38" s="258" t="s">
        <v>325</v>
      </c>
      <c r="C38" s="365">
        <v>108478</v>
      </c>
      <c r="D38" s="202">
        <v>130152</v>
      </c>
      <c r="E38" s="365">
        <v>108478</v>
      </c>
      <c r="F38" s="202">
        <v>130152</v>
      </c>
      <c r="G38" s="554"/>
      <c r="H38" s="189">
        <f t="shared" si="7"/>
        <v>-130152</v>
      </c>
      <c r="I38" s="190">
        <f t="shared" si="8"/>
        <v>-1</v>
      </c>
      <c r="J38" s="652" t="s">
        <v>791</v>
      </c>
      <c r="K38" s="183">
        <f t="shared" si="9"/>
        <v>-108478</v>
      </c>
      <c r="L38" s="194">
        <f t="shared" si="10"/>
        <v>-1</v>
      </c>
      <c r="M38" s="777"/>
    </row>
    <row r="39" spans="1:13" ht="63" customHeight="1" x14ac:dyDescent="0.2">
      <c r="A39" s="242">
        <v>1112</v>
      </c>
      <c r="B39" s="258" t="s">
        <v>326</v>
      </c>
      <c r="C39" s="365">
        <v>7910613</v>
      </c>
      <c r="D39" s="202">
        <v>8215337.7300000004</v>
      </c>
      <c r="E39" s="365">
        <v>7910613</v>
      </c>
      <c r="F39" s="202">
        <v>8215337.7300000004</v>
      </c>
      <c r="G39" s="646">
        <v>8471096.2400000002</v>
      </c>
      <c r="H39" s="189">
        <f t="shared" si="7"/>
        <v>255758.50999999978</v>
      </c>
      <c r="I39" s="190">
        <f t="shared" si="8"/>
        <v>3.1131831509013295E-2</v>
      </c>
      <c r="J39" s="389"/>
      <c r="K39" s="183">
        <f t="shared" si="9"/>
        <v>560483.24000000022</v>
      </c>
      <c r="L39" s="194">
        <f t="shared" si="10"/>
        <v>7.0852061654387621E-2</v>
      </c>
      <c r="M39" s="777"/>
    </row>
    <row r="40" spans="1:13" s="235" customFormat="1" ht="33" customHeight="1" x14ac:dyDescent="0.2">
      <c r="A40" s="233">
        <v>1140</v>
      </c>
      <c r="B40" s="247" t="s">
        <v>154</v>
      </c>
      <c r="C40" s="366">
        <v>2685825</v>
      </c>
      <c r="D40" s="191">
        <v>2831272.1979999999</v>
      </c>
      <c r="E40" s="366">
        <v>2685825</v>
      </c>
      <c r="F40" s="191">
        <v>2831272.1979999999</v>
      </c>
      <c r="G40" s="553">
        <f>G41+G42+G43+G44+G45+G46+G47+G48</f>
        <v>3223578.48</v>
      </c>
      <c r="H40" s="189">
        <f t="shared" si="7"/>
        <v>392306.28200000012</v>
      </c>
      <c r="I40" s="190">
        <f t="shared" si="8"/>
        <v>0.13856183883595644</v>
      </c>
      <c r="J40" s="757" t="s">
        <v>792</v>
      </c>
      <c r="K40" s="189">
        <f t="shared" si="9"/>
        <v>537753.48</v>
      </c>
      <c r="L40" s="190">
        <f t="shared" si="10"/>
        <v>0.20021910586132752</v>
      </c>
      <c r="M40" s="772" t="s">
        <v>819</v>
      </c>
    </row>
    <row r="41" spans="1:13" s="235" customFormat="1" x14ac:dyDescent="0.2">
      <c r="A41" s="242">
        <v>1141</v>
      </c>
      <c r="B41" s="248" t="s">
        <v>147</v>
      </c>
      <c r="C41" s="365">
        <v>501487</v>
      </c>
      <c r="D41" s="202">
        <v>520626.41800000001</v>
      </c>
      <c r="E41" s="365">
        <v>501487</v>
      </c>
      <c r="F41" s="202">
        <v>520626.41800000001</v>
      </c>
      <c r="G41" s="555">
        <v>534408.93999999994</v>
      </c>
      <c r="H41" s="189">
        <f t="shared" si="7"/>
        <v>13782.521999999939</v>
      </c>
      <c r="I41" s="190">
        <f t="shared" si="8"/>
        <v>2.6472959349519484E-2</v>
      </c>
      <c r="J41" s="758"/>
      <c r="K41" s="183">
        <f t="shared" si="9"/>
        <v>32921.939999999944</v>
      </c>
      <c r="L41" s="194">
        <f t="shared" si="10"/>
        <v>6.5648640941838865E-2</v>
      </c>
      <c r="M41" s="773"/>
    </row>
    <row r="42" spans="1:13" s="235" customFormat="1" ht="31.5" x14ac:dyDescent="0.2">
      <c r="A42" s="242">
        <v>1142</v>
      </c>
      <c r="B42" s="248" t="s">
        <v>25</v>
      </c>
      <c r="C42" s="365">
        <v>640337</v>
      </c>
      <c r="D42" s="202">
        <v>663421.05000000005</v>
      </c>
      <c r="E42" s="365">
        <v>640337</v>
      </c>
      <c r="F42" s="202">
        <v>663421.05000000005</v>
      </c>
      <c r="G42" s="555">
        <v>706860.35</v>
      </c>
      <c r="H42" s="189">
        <f t="shared" si="7"/>
        <v>43439.29999999993</v>
      </c>
      <c r="I42" s="190">
        <f t="shared" si="8"/>
        <v>6.5477723385472808E-2</v>
      </c>
      <c r="J42" s="758"/>
      <c r="K42" s="183">
        <f t="shared" si="9"/>
        <v>66523.349999999977</v>
      </c>
      <c r="L42" s="194">
        <f t="shared" si="10"/>
        <v>0.10388803083376406</v>
      </c>
      <c r="M42" s="773"/>
    </row>
    <row r="43" spans="1:13" s="235" customFormat="1" x14ac:dyDescent="0.2">
      <c r="A43" s="242">
        <v>1144</v>
      </c>
      <c r="B43" s="248" t="s">
        <v>26</v>
      </c>
      <c r="C43" s="365">
        <v>0</v>
      </c>
      <c r="D43" s="202">
        <v>0</v>
      </c>
      <c r="E43" s="365">
        <v>0</v>
      </c>
      <c r="F43" s="202">
        <v>0</v>
      </c>
      <c r="G43" s="555"/>
      <c r="H43" s="189">
        <f t="shared" si="7"/>
        <v>0</v>
      </c>
      <c r="I43" s="190" t="str">
        <f t="shared" si="8"/>
        <v>-</v>
      </c>
      <c r="J43" s="758"/>
      <c r="K43" s="183">
        <f t="shared" si="9"/>
        <v>0</v>
      </c>
      <c r="L43" s="194" t="str">
        <f t="shared" si="10"/>
        <v>-</v>
      </c>
      <c r="M43" s="773"/>
    </row>
    <row r="44" spans="1:13" s="235" customFormat="1" ht="31.5" x14ac:dyDescent="0.2">
      <c r="A44" s="242">
        <v>1145</v>
      </c>
      <c r="B44" s="248" t="s">
        <v>155</v>
      </c>
      <c r="C44" s="365">
        <v>1216624</v>
      </c>
      <c r="D44" s="202">
        <v>1317980.8299999998</v>
      </c>
      <c r="E44" s="365">
        <v>1216624</v>
      </c>
      <c r="F44" s="202">
        <v>1317980.8299999998</v>
      </c>
      <c r="G44" s="555">
        <v>1540470.42</v>
      </c>
      <c r="H44" s="189">
        <f t="shared" si="7"/>
        <v>222489.59000000008</v>
      </c>
      <c r="I44" s="190">
        <f t="shared" si="8"/>
        <v>0.1688109454520671</v>
      </c>
      <c r="J44" s="758"/>
      <c r="K44" s="183">
        <f t="shared" si="9"/>
        <v>323846.41999999993</v>
      </c>
      <c r="L44" s="194">
        <f t="shared" si="10"/>
        <v>0.26618447441444515</v>
      </c>
      <c r="M44" s="773"/>
    </row>
    <row r="45" spans="1:13" s="235" customFormat="1" ht="31.5" x14ac:dyDescent="0.2">
      <c r="A45" s="242">
        <v>1146</v>
      </c>
      <c r="B45" s="248" t="s">
        <v>27</v>
      </c>
      <c r="C45" s="365">
        <v>67937</v>
      </c>
      <c r="D45" s="202">
        <v>70403.95</v>
      </c>
      <c r="E45" s="365">
        <v>67937</v>
      </c>
      <c r="F45" s="202">
        <v>70403.95</v>
      </c>
      <c r="G45" s="555">
        <v>63592.1</v>
      </c>
      <c r="H45" s="189">
        <f t="shared" si="7"/>
        <v>-6811.8499999999985</v>
      </c>
      <c r="I45" s="190">
        <f t="shared" si="8"/>
        <v>-9.6753804296491872E-2</v>
      </c>
      <c r="J45" s="758"/>
      <c r="K45" s="183">
        <f t="shared" si="9"/>
        <v>-4344.9000000000015</v>
      </c>
      <c r="L45" s="194">
        <f t="shared" si="10"/>
        <v>-6.3954840514005643E-2</v>
      </c>
      <c r="M45" s="773"/>
    </row>
    <row r="46" spans="1:13" s="235" customFormat="1" x14ac:dyDescent="0.2">
      <c r="A46" s="242">
        <v>1147</v>
      </c>
      <c r="B46" s="248" t="s">
        <v>28</v>
      </c>
      <c r="C46" s="365">
        <v>79856</v>
      </c>
      <c r="D46" s="202">
        <v>80902.52</v>
      </c>
      <c r="E46" s="365">
        <v>79856</v>
      </c>
      <c r="F46" s="202">
        <v>80902.52</v>
      </c>
      <c r="G46" s="554">
        <v>73910.11</v>
      </c>
      <c r="H46" s="189">
        <f t="shared" si="7"/>
        <v>-6992.4100000000035</v>
      </c>
      <c r="I46" s="190">
        <f t="shared" si="8"/>
        <v>-8.6430064230384948E-2</v>
      </c>
      <c r="J46" s="758"/>
      <c r="K46" s="183">
        <f t="shared" si="9"/>
        <v>-5945.8899999999994</v>
      </c>
      <c r="L46" s="194">
        <f t="shared" si="10"/>
        <v>-7.4457648767782006E-2</v>
      </c>
      <c r="M46" s="773"/>
    </row>
    <row r="47" spans="1:13" s="235" customFormat="1" x14ac:dyDescent="0.2">
      <c r="A47" s="242">
        <v>1148</v>
      </c>
      <c r="B47" s="248" t="s">
        <v>156</v>
      </c>
      <c r="C47" s="365">
        <v>54714</v>
      </c>
      <c r="D47" s="202">
        <v>57651.759999999995</v>
      </c>
      <c r="E47" s="365">
        <v>54714</v>
      </c>
      <c r="F47" s="202">
        <v>57651.759999999995</v>
      </c>
      <c r="G47" s="554">
        <v>165806.26999999999</v>
      </c>
      <c r="H47" s="189">
        <f t="shared" si="7"/>
        <v>108154.51</v>
      </c>
      <c r="I47" s="190">
        <f t="shared" si="8"/>
        <v>1.8759966738222738</v>
      </c>
      <c r="J47" s="758"/>
      <c r="K47" s="183">
        <f t="shared" si="9"/>
        <v>111092.26999999999</v>
      </c>
      <c r="L47" s="194">
        <f t="shared" si="10"/>
        <v>2.0304176262017033</v>
      </c>
      <c r="M47" s="773"/>
    </row>
    <row r="48" spans="1:13" s="235" customFormat="1" ht="163.5" customHeight="1" x14ac:dyDescent="0.2">
      <c r="A48" s="242">
        <v>1149</v>
      </c>
      <c r="B48" s="248" t="s">
        <v>29</v>
      </c>
      <c r="C48" s="365">
        <v>124870</v>
      </c>
      <c r="D48" s="211">
        <v>120285.66999999998</v>
      </c>
      <c r="E48" s="365">
        <v>124870</v>
      </c>
      <c r="F48" s="211">
        <v>120285.66999999998</v>
      </c>
      <c r="G48" s="555">
        <v>138530.29</v>
      </c>
      <c r="H48" s="189">
        <f t="shared" si="7"/>
        <v>18244.620000000024</v>
      </c>
      <c r="I48" s="190">
        <f t="shared" si="8"/>
        <v>0.15167741926365816</v>
      </c>
      <c r="J48" s="759"/>
      <c r="K48" s="195">
        <f t="shared" si="9"/>
        <v>13660.290000000008</v>
      </c>
      <c r="L48" s="196">
        <f t="shared" si="10"/>
        <v>0.1093960919356131</v>
      </c>
      <c r="M48" s="774"/>
    </row>
    <row r="49" spans="1:13" s="235" customFormat="1" ht="220.5" customHeight="1" x14ac:dyDescent="0.2">
      <c r="A49" s="241">
        <v>1150</v>
      </c>
      <c r="B49" s="252" t="s">
        <v>30</v>
      </c>
      <c r="C49" s="365">
        <v>60880</v>
      </c>
      <c r="D49" s="202">
        <v>63801.399999999994</v>
      </c>
      <c r="E49" s="365">
        <v>60880</v>
      </c>
      <c r="F49" s="202">
        <v>63801.399999999994</v>
      </c>
      <c r="G49" s="561">
        <v>28764.880000000001</v>
      </c>
      <c r="H49" s="189">
        <f t="shared" si="7"/>
        <v>-35036.51999999999</v>
      </c>
      <c r="I49" s="190">
        <f t="shared" si="8"/>
        <v>-0.54914970517888306</v>
      </c>
      <c r="J49" s="654" t="s">
        <v>793</v>
      </c>
      <c r="K49" s="183">
        <f t="shared" si="9"/>
        <v>-32115.119999999999</v>
      </c>
      <c r="L49" s="194">
        <f t="shared" si="10"/>
        <v>-0.52751511169513798</v>
      </c>
      <c r="M49" s="654" t="s">
        <v>820</v>
      </c>
    </row>
    <row r="50" spans="1:13" s="235" customFormat="1" ht="31.5" x14ac:dyDescent="0.2">
      <c r="A50" s="241">
        <v>1170</v>
      </c>
      <c r="B50" s="252" t="s">
        <v>31</v>
      </c>
      <c r="C50" s="367">
        <v>0</v>
      </c>
      <c r="D50" s="212">
        <v>0</v>
      </c>
      <c r="E50" s="367">
        <v>0</v>
      </c>
      <c r="F50" s="212">
        <v>0</v>
      </c>
      <c r="G50" s="557"/>
      <c r="H50" s="189">
        <f t="shared" si="7"/>
        <v>0</v>
      </c>
      <c r="I50" s="190" t="str">
        <f t="shared" si="8"/>
        <v>-</v>
      </c>
      <c r="J50" s="656"/>
      <c r="K50" s="186">
        <f t="shared" si="9"/>
        <v>0</v>
      </c>
      <c r="L50" s="197" t="str">
        <f t="shared" si="10"/>
        <v>-</v>
      </c>
      <c r="M50" s="656"/>
    </row>
    <row r="51" spans="1:13" s="235" customFormat="1" ht="63" x14ac:dyDescent="0.2">
      <c r="A51" s="233">
        <v>1200</v>
      </c>
      <c r="B51" s="247" t="s">
        <v>32</v>
      </c>
      <c r="C51" s="366">
        <v>2584468</v>
      </c>
      <c r="D51" s="191">
        <v>2714278.0663000001</v>
      </c>
      <c r="E51" s="366">
        <v>2584468</v>
      </c>
      <c r="F51" s="191">
        <v>2714278.0663000001</v>
      </c>
      <c r="G51" s="553">
        <f>G52+G53</f>
        <v>2967286.94</v>
      </c>
      <c r="H51" s="189">
        <f t="shared" si="7"/>
        <v>253008.87369999988</v>
      </c>
      <c r="I51" s="190">
        <f>IFERROR(H51/ABS(F51), "-")</f>
        <v>9.3214058220973617E-2</v>
      </c>
      <c r="J51" s="331"/>
      <c r="K51" s="189">
        <f t="shared" si="9"/>
        <v>382818.93999999994</v>
      </c>
      <c r="L51" s="190">
        <f t="shared" si="10"/>
        <v>0.14812291736635932</v>
      </c>
      <c r="M51" s="331"/>
    </row>
    <row r="52" spans="1:13" s="235" customFormat="1" ht="78.75" x14ac:dyDescent="0.2">
      <c r="A52" s="241">
        <v>1210</v>
      </c>
      <c r="B52" s="252" t="s">
        <v>33</v>
      </c>
      <c r="C52" s="367">
        <v>2481841</v>
      </c>
      <c r="D52" s="212">
        <v>2596419.5236399993</v>
      </c>
      <c r="E52" s="367">
        <v>2481841</v>
      </c>
      <c r="F52" s="212">
        <v>2596419.5236399993</v>
      </c>
      <c r="G52" s="557">
        <v>2778363.38</v>
      </c>
      <c r="H52" s="189">
        <f t="shared" si="7"/>
        <v>181943.85636000056</v>
      </c>
      <c r="I52" s="190">
        <f t="shared" si="8"/>
        <v>7.0074906887515595E-2</v>
      </c>
      <c r="J52" s="657" t="s">
        <v>794</v>
      </c>
      <c r="K52" s="186">
        <f t="shared" si="9"/>
        <v>296522.37999999989</v>
      </c>
      <c r="L52" s="197">
        <f t="shared" si="10"/>
        <v>0.11947678356510344</v>
      </c>
      <c r="M52" s="657" t="s">
        <v>821</v>
      </c>
    </row>
    <row r="53" spans="1:13" s="235" customFormat="1" ht="47.25" customHeight="1" x14ac:dyDescent="0.2">
      <c r="A53" s="244">
        <v>1220</v>
      </c>
      <c r="B53" s="327" t="s">
        <v>34</v>
      </c>
      <c r="C53" s="368">
        <v>102628</v>
      </c>
      <c r="D53" s="198">
        <v>117858.54266000001</v>
      </c>
      <c r="E53" s="368">
        <v>102628</v>
      </c>
      <c r="F53" s="198">
        <v>117858.54266000001</v>
      </c>
      <c r="G53" s="562">
        <f>G54+G55+G56+G57+G58</f>
        <v>188923.56</v>
      </c>
      <c r="H53" s="189">
        <f t="shared" si="7"/>
        <v>71065.017339999991</v>
      </c>
      <c r="I53" s="190">
        <f>IFERROR(H53/ABS(F53), "-")</f>
        <v>0.60296874317383475</v>
      </c>
      <c r="J53" s="757" t="s">
        <v>795</v>
      </c>
      <c r="K53" s="199">
        <f t="shared" si="9"/>
        <v>86295.56</v>
      </c>
      <c r="L53" s="200">
        <f t="shared" si="10"/>
        <v>0.84085785555598858</v>
      </c>
      <c r="M53" s="757" t="s">
        <v>822</v>
      </c>
    </row>
    <row r="54" spans="1:13" s="235" customFormat="1" ht="63" x14ac:dyDescent="0.2">
      <c r="A54" s="242">
        <v>1221</v>
      </c>
      <c r="B54" s="248" t="s">
        <v>35</v>
      </c>
      <c r="C54" s="365">
        <v>102468</v>
      </c>
      <c r="D54" s="202">
        <v>117698.54265999999</v>
      </c>
      <c r="E54" s="365">
        <v>102468</v>
      </c>
      <c r="F54" s="202">
        <v>117698.54265999999</v>
      </c>
      <c r="G54" s="555">
        <v>188803.56</v>
      </c>
      <c r="H54" s="189">
        <f t="shared" si="7"/>
        <v>71105.017340000006</v>
      </c>
      <c r="I54" s="190">
        <f t="shared" si="8"/>
        <v>0.60412827323957297</v>
      </c>
      <c r="J54" s="758"/>
      <c r="K54" s="183">
        <f t="shared" si="9"/>
        <v>86335.56</v>
      </c>
      <c r="L54" s="194">
        <f t="shared" si="10"/>
        <v>0.84256118983487527</v>
      </c>
      <c r="M54" s="758"/>
    </row>
    <row r="55" spans="1:13" s="235" customFormat="1" ht="31.5" x14ac:dyDescent="0.2">
      <c r="A55" s="242">
        <v>1222</v>
      </c>
      <c r="B55" s="248" t="s">
        <v>36</v>
      </c>
      <c r="C55" s="365">
        <v>160</v>
      </c>
      <c r="D55" s="202">
        <v>0</v>
      </c>
      <c r="E55" s="365">
        <v>160</v>
      </c>
      <c r="F55" s="202">
        <v>0</v>
      </c>
      <c r="G55" s="555"/>
      <c r="H55" s="189">
        <f t="shared" si="7"/>
        <v>0</v>
      </c>
      <c r="I55" s="190" t="str">
        <f t="shared" si="8"/>
        <v>-</v>
      </c>
      <c r="J55" s="758"/>
      <c r="K55" s="183">
        <f t="shared" si="9"/>
        <v>-160</v>
      </c>
      <c r="L55" s="194">
        <f t="shared" si="10"/>
        <v>-1</v>
      </c>
      <c r="M55" s="758"/>
    </row>
    <row r="56" spans="1:13" s="235" customFormat="1" x14ac:dyDescent="0.2">
      <c r="A56" s="242">
        <v>1223</v>
      </c>
      <c r="B56" s="248" t="s">
        <v>37</v>
      </c>
      <c r="C56" s="202"/>
      <c r="D56" s="202">
        <v>0</v>
      </c>
      <c r="E56" s="202"/>
      <c r="F56" s="202">
        <v>0</v>
      </c>
      <c r="G56" s="555"/>
      <c r="H56" s="189">
        <f t="shared" si="7"/>
        <v>0</v>
      </c>
      <c r="I56" s="190" t="str">
        <f t="shared" si="8"/>
        <v>-</v>
      </c>
      <c r="J56" s="758"/>
      <c r="K56" s="183">
        <f t="shared" si="9"/>
        <v>0</v>
      </c>
      <c r="L56" s="194" t="str">
        <f t="shared" si="10"/>
        <v>-</v>
      </c>
      <c r="M56" s="758"/>
    </row>
    <row r="57" spans="1:13" s="235" customFormat="1" ht="31.5" x14ac:dyDescent="0.2">
      <c r="A57" s="242">
        <v>1227</v>
      </c>
      <c r="B57" s="248" t="s">
        <v>38</v>
      </c>
      <c r="C57" s="202"/>
      <c r="D57" s="202">
        <v>0</v>
      </c>
      <c r="E57" s="202"/>
      <c r="F57" s="202">
        <v>0</v>
      </c>
      <c r="G57" s="555"/>
      <c r="H57" s="189">
        <f t="shared" si="7"/>
        <v>0</v>
      </c>
      <c r="I57" s="190" t="str">
        <f t="shared" si="8"/>
        <v>-</v>
      </c>
      <c r="J57" s="758"/>
      <c r="K57" s="183">
        <f t="shared" si="9"/>
        <v>0</v>
      </c>
      <c r="L57" s="194" t="str">
        <f t="shared" si="10"/>
        <v>-</v>
      </c>
      <c r="M57" s="758"/>
    </row>
    <row r="58" spans="1:13" s="235" customFormat="1" ht="63" x14ac:dyDescent="0.2">
      <c r="A58" s="242">
        <v>1228</v>
      </c>
      <c r="B58" s="248" t="s">
        <v>330</v>
      </c>
      <c r="C58" s="202">
        <v>120</v>
      </c>
      <c r="D58" s="202">
        <v>160</v>
      </c>
      <c r="E58" s="202">
        <v>120</v>
      </c>
      <c r="F58" s="202">
        <v>160</v>
      </c>
      <c r="G58" s="555">
        <v>120</v>
      </c>
      <c r="H58" s="189">
        <f t="shared" si="7"/>
        <v>-40</v>
      </c>
      <c r="I58" s="190">
        <f t="shared" si="8"/>
        <v>-0.25</v>
      </c>
      <c r="J58" s="759"/>
      <c r="K58" s="183">
        <f t="shared" si="9"/>
        <v>0</v>
      </c>
      <c r="L58" s="194">
        <f t="shared" si="10"/>
        <v>0</v>
      </c>
      <c r="M58" s="759"/>
    </row>
    <row r="59" spans="1:13" s="235" customFormat="1" x14ac:dyDescent="0.2">
      <c r="A59" s="233">
        <v>2000</v>
      </c>
      <c r="B59" s="254" t="s">
        <v>39</v>
      </c>
      <c r="C59" s="191">
        <f>C60+C67+C103+C139+C149</f>
        <v>7834174.6900000004</v>
      </c>
      <c r="D59" s="191">
        <v>8785607.2657442428</v>
      </c>
      <c r="E59" s="191">
        <f>E60+E67+E103+E139+E149</f>
        <v>7834174.6900000004</v>
      </c>
      <c r="F59" s="191">
        <v>8785607.2657442428</v>
      </c>
      <c r="G59" s="553">
        <f>G60+G67+G103+G139+G149</f>
        <v>9347627.6699999999</v>
      </c>
      <c r="H59" s="189">
        <f t="shared" si="7"/>
        <v>562020.40425575711</v>
      </c>
      <c r="I59" s="182">
        <f t="shared" si="8"/>
        <v>6.397058134468607E-2</v>
      </c>
      <c r="J59" s="331"/>
      <c r="K59" s="189">
        <f t="shared" si="9"/>
        <v>1513452.9799999995</v>
      </c>
      <c r="L59" s="182">
        <f t="shared" si="10"/>
        <v>0.1931860138288542</v>
      </c>
      <c r="M59" s="331"/>
    </row>
    <row r="60" spans="1:13" s="235" customFormat="1" ht="31.5" x14ac:dyDescent="0.2">
      <c r="A60" s="233">
        <v>2100</v>
      </c>
      <c r="B60" s="254" t="s">
        <v>157</v>
      </c>
      <c r="C60" s="191">
        <f t="shared" ref="C60:E60" si="12">C61+C64</f>
        <v>278.26</v>
      </c>
      <c r="D60" s="191">
        <v>1278.26</v>
      </c>
      <c r="E60" s="191">
        <f t="shared" si="12"/>
        <v>278.26</v>
      </c>
      <c r="F60" s="191">
        <v>1278.26</v>
      </c>
      <c r="G60" s="553">
        <f t="shared" ref="G60" si="13">G61+G64</f>
        <v>8546.73</v>
      </c>
      <c r="H60" s="189">
        <f t="shared" si="7"/>
        <v>7268.4699999999993</v>
      </c>
      <c r="I60" s="182">
        <f t="shared" si="8"/>
        <v>5.6862218953890444</v>
      </c>
      <c r="J60" s="331"/>
      <c r="K60" s="189">
        <f t="shared" si="9"/>
        <v>8268.4699999999993</v>
      </c>
      <c r="L60" s="182">
        <f t="shared" si="10"/>
        <v>29.714906921584127</v>
      </c>
      <c r="M60" s="331"/>
    </row>
    <row r="61" spans="1:13" s="235" customFormat="1" ht="15.75" customHeight="1" x14ac:dyDescent="0.2">
      <c r="A61" s="245">
        <v>2110</v>
      </c>
      <c r="B61" s="254" t="s">
        <v>40</v>
      </c>
      <c r="C61" s="191">
        <f t="shared" ref="C61:E61" si="14">SUM(C62:C63)</f>
        <v>8.26</v>
      </c>
      <c r="D61" s="191">
        <v>8.26</v>
      </c>
      <c r="E61" s="191">
        <f t="shared" si="14"/>
        <v>8.26</v>
      </c>
      <c r="F61" s="191">
        <v>8.26</v>
      </c>
      <c r="G61" s="553">
        <f t="shared" ref="G61" si="15">SUM(G62:G63)</f>
        <v>17.91</v>
      </c>
      <c r="H61" s="189">
        <f t="shared" si="7"/>
        <v>9.65</v>
      </c>
      <c r="I61" s="182">
        <f t="shared" si="8"/>
        <v>1.1682808716707023</v>
      </c>
      <c r="J61" s="757" t="s">
        <v>796</v>
      </c>
      <c r="K61" s="189">
        <f t="shared" si="9"/>
        <v>9.65</v>
      </c>
      <c r="L61" s="182">
        <f t="shared" si="10"/>
        <v>1.1682808716707023</v>
      </c>
      <c r="M61" s="757" t="s">
        <v>823</v>
      </c>
    </row>
    <row r="62" spans="1:13" s="235" customFormat="1" x14ac:dyDescent="0.2">
      <c r="A62" s="242">
        <v>2111</v>
      </c>
      <c r="B62" s="266" t="s">
        <v>41</v>
      </c>
      <c r="C62" s="202">
        <v>0</v>
      </c>
      <c r="D62" s="202">
        <v>0</v>
      </c>
      <c r="E62" s="202">
        <v>0</v>
      </c>
      <c r="F62" s="202">
        <v>0</v>
      </c>
      <c r="G62" s="555">
        <v>0</v>
      </c>
      <c r="H62" s="189">
        <f t="shared" si="7"/>
        <v>0</v>
      </c>
      <c r="I62" s="182" t="str">
        <f t="shared" si="8"/>
        <v>-</v>
      </c>
      <c r="J62" s="758"/>
      <c r="K62" s="183">
        <f t="shared" si="9"/>
        <v>0</v>
      </c>
      <c r="L62" s="184" t="str">
        <f t="shared" si="10"/>
        <v>-</v>
      </c>
      <c r="M62" s="758"/>
    </row>
    <row r="63" spans="1:13" s="246" customFormat="1" ht="77.25" customHeight="1" x14ac:dyDescent="0.2">
      <c r="A63" s="242">
        <v>2112</v>
      </c>
      <c r="B63" s="266" t="s">
        <v>417</v>
      </c>
      <c r="C63" s="202">
        <v>8.26</v>
      </c>
      <c r="D63" s="202">
        <v>8.26</v>
      </c>
      <c r="E63" s="202">
        <v>8.26</v>
      </c>
      <c r="F63" s="202">
        <v>8.26</v>
      </c>
      <c r="G63" s="555">
        <v>17.91</v>
      </c>
      <c r="H63" s="189">
        <f t="shared" si="7"/>
        <v>9.65</v>
      </c>
      <c r="I63" s="182">
        <f t="shared" si="8"/>
        <v>1.1682808716707023</v>
      </c>
      <c r="J63" s="759"/>
      <c r="K63" s="183">
        <f t="shared" si="9"/>
        <v>9.65</v>
      </c>
      <c r="L63" s="184">
        <f t="shared" si="10"/>
        <v>1.1682808716707023</v>
      </c>
      <c r="M63" s="759"/>
    </row>
    <row r="64" spans="1:13" s="235" customFormat="1" ht="31.5" customHeight="1" x14ac:dyDescent="0.2">
      <c r="A64" s="245">
        <v>2120</v>
      </c>
      <c r="B64" s="254" t="s">
        <v>42</v>
      </c>
      <c r="C64" s="191">
        <f t="shared" ref="C64:E64" si="16">SUM(C65:C66)</f>
        <v>270</v>
      </c>
      <c r="D64" s="191">
        <v>1270</v>
      </c>
      <c r="E64" s="191">
        <f t="shared" si="16"/>
        <v>270</v>
      </c>
      <c r="F64" s="191">
        <v>1270</v>
      </c>
      <c r="G64" s="553">
        <f>SUM(G65:G66)</f>
        <v>8528.82</v>
      </c>
      <c r="H64" s="189">
        <f t="shared" si="7"/>
        <v>7258.82</v>
      </c>
      <c r="I64" s="182">
        <f t="shared" si="8"/>
        <v>5.715606299212598</v>
      </c>
      <c r="J64" s="757" t="s">
        <v>797</v>
      </c>
      <c r="K64" s="189">
        <f t="shared" si="9"/>
        <v>8258.82</v>
      </c>
      <c r="L64" s="182">
        <f t="shared" si="10"/>
        <v>30.588222222222221</v>
      </c>
      <c r="M64" s="757" t="s">
        <v>824</v>
      </c>
    </row>
    <row r="65" spans="1:13" s="235" customFormat="1" x14ac:dyDescent="0.2">
      <c r="A65" s="242">
        <v>2121</v>
      </c>
      <c r="B65" s="266" t="s">
        <v>41</v>
      </c>
      <c r="C65" s="202">
        <v>0</v>
      </c>
      <c r="D65" s="202">
        <v>0</v>
      </c>
      <c r="E65" s="202">
        <v>0</v>
      </c>
      <c r="F65" s="202">
        <v>0</v>
      </c>
      <c r="G65" s="555">
        <v>0</v>
      </c>
      <c r="H65" s="189">
        <f t="shared" si="7"/>
        <v>0</v>
      </c>
      <c r="I65" s="182" t="str">
        <f t="shared" si="8"/>
        <v>-</v>
      </c>
      <c r="J65" s="758"/>
      <c r="K65" s="183">
        <f t="shared" si="9"/>
        <v>0</v>
      </c>
      <c r="L65" s="184" t="str">
        <f t="shared" si="10"/>
        <v>-</v>
      </c>
      <c r="M65" s="758"/>
    </row>
    <row r="66" spans="1:13" s="246" customFormat="1" ht="192" customHeight="1" x14ac:dyDescent="0.2">
      <c r="A66" s="242">
        <v>2122</v>
      </c>
      <c r="B66" s="266" t="s">
        <v>417</v>
      </c>
      <c r="C66" s="202">
        <v>270</v>
      </c>
      <c r="D66" s="202">
        <v>1270</v>
      </c>
      <c r="E66" s="202">
        <v>270</v>
      </c>
      <c r="F66" s="202">
        <v>1270</v>
      </c>
      <c r="G66" s="555">
        <v>8528.82</v>
      </c>
      <c r="H66" s="189">
        <f t="shared" si="7"/>
        <v>7258.82</v>
      </c>
      <c r="I66" s="182">
        <f t="shared" si="8"/>
        <v>5.715606299212598</v>
      </c>
      <c r="J66" s="759"/>
      <c r="K66" s="183">
        <f t="shared" si="9"/>
        <v>8258.82</v>
      </c>
      <c r="L66" s="184">
        <f t="shared" si="10"/>
        <v>30.588222222222221</v>
      </c>
      <c r="M66" s="759"/>
    </row>
    <row r="67" spans="1:13" s="235" customFormat="1" x14ac:dyDescent="0.2">
      <c r="A67" s="233">
        <v>2200</v>
      </c>
      <c r="B67" s="247" t="s">
        <v>43</v>
      </c>
      <c r="C67" s="191">
        <f>C68+C69+C75+C83+C90+C91+C97+C102</f>
        <v>1672971.8299999998</v>
      </c>
      <c r="D67" s="191">
        <v>2263200.2084319997</v>
      </c>
      <c r="E67" s="191">
        <f>E68+E69+E75+E83+E90+E91+E97+E102</f>
        <v>1672971.8299999998</v>
      </c>
      <c r="F67" s="191">
        <v>2263200.2084319997</v>
      </c>
      <c r="G67" s="553">
        <f>G68+G69+G75+G83+G90+G91+G97+G102</f>
        <v>2129224.2600000002</v>
      </c>
      <c r="H67" s="189">
        <f t="shared" ref="H67:H98" si="17">G67-F67</f>
        <v>-133975.94843199942</v>
      </c>
      <c r="I67" s="182">
        <f t="shared" ref="I67:I98" si="18">IFERROR(H67/ABS(F67), "-")</f>
        <v>-5.9197568086484596E-2</v>
      </c>
      <c r="J67" s="331"/>
      <c r="K67" s="189">
        <f t="shared" ref="K67:K98" si="19">G67-E67</f>
        <v>456252.4300000004</v>
      </c>
      <c r="L67" s="182">
        <f t="shared" ref="L67:L98" si="20">IFERROR(K67/ABS(E67), "-")</f>
        <v>0.27271973252532317</v>
      </c>
      <c r="M67" s="331"/>
    </row>
    <row r="68" spans="1:13" s="235" customFormat="1" ht="129" customHeight="1" x14ac:dyDescent="0.2">
      <c r="A68" s="245">
        <v>2210</v>
      </c>
      <c r="B68" s="247" t="s">
        <v>418</v>
      </c>
      <c r="C68" s="201">
        <v>15423.84</v>
      </c>
      <c r="D68" s="201">
        <v>18827.87</v>
      </c>
      <c r="E68" s="201">
        <v>15423.84</v>
      </c>
      <c r="F68" s="201">
        <v>18827.87</v>
      </c>
      <c r="G68" s="556">
        <v>16126.05</v>
      </c>
      <c r="H68" s="189">
        <f t="shared" si="17"/>
        <v>-2701.8199999999997</v>
      </c>
      <c r="I68" s="182">
        <f t="shared" si="18"/>
        <v>-0.14350109704390351</v>
      </c>
      <c r="J68" s="654" t="s">
        <v>798</v>
      </c>
      <c r="K68" s="185">
        <f t="shared" si="19"/>
        <v>702.20999999999913</v>
      </c>
      <c r="L68" s="182">
        <f t="shared" si="20"/>
        <v>4.5527572900133761E-2</v>
      </c>
      <c r="M68" s="644"/>
    </row>
    <row r="69" spans="1:13" s="235" customFormat="1" ht="31.5" customHeight="1" x14ac:dyDescent="0.2">
      <c r="A69" s="245">
        <v>2220</v>
      </c>
      <c r="B69" s="247" t="s">
        <v>44</v>
      </c>
      <c r="C69" s="191">
        <f t="shared" ref="C69:E69" si="21">SUM(C70:C74)</f>
        <v>615412.95000000007</v>
      </c>
      <c r="D69" s="191">
        <v>1024424.8227319999</v>
      </c>
      <c r="E69" s="191">
        <f t="shared" si="21"/>
        <v>615412.95000000007</v>
      </c>
      <c r="F69" s="191">
        <v>1024424.8227319999</v>
      </c>
      <c r="G69" s="553">
        <f>SUM(G70:G74)</f>
        <v>1107653.3800000001</v>
      </c>
      <c r="H69" s="189">
        <f t="shared" si="17"/>
        <v>83228.557268000208</v>
      </c>
      <c r="I69" s="182">
        <f t="shared" si="18"/>
        <v>8.1244182512135055E-2</v>
      </c>
      <c r="J69" s="757" t="s">
        <v>799</v>
      </c>
      <c r="K69" s="189">
        <f t="shared" si="19"/>
        <v>492240.43000000005</v>
      </c>
      <c r="L69" s="182">
        <f t="shared" si="20"/>
        <v>0.7998538704783511</v>
      </c>
      <c r="M69" s="757" t="s">
        <v>825</v>
      </c>
    </row>
    <row r="70" spans="1:13" s="235" customFormat="1" x14ac:dyDescent="0.2">
      <c r="A70" s="242">
        <v>2221</v>
      </c>
      <c r="B70" s="248" t="s">
        <v>419</v>
      </c>
      <c r="C70" s="202">
        <v>301011.89</v>
      </c>
      <c r="D70" s="211">
        <v>522918.12349999999</v>
      </c>
      <c r="E70" s="202">
        <v>301011.89</v>
      </c>
      <c r="F70" s="211">
        <v>522918.12349999999</v>
      </c>
      <c r="G70" s="554">
        <v>557811.18000000005</v>
      </c>
      <c r="H70" s="189">
        <f t="shared" si="17"/>
        <v>34893.056500000064</v>
      </c>
      <c r="I70" s="182">
        <f t="shared" si="18"/>
        <v>6.6727571548780076E-2</v>
      </c>
      <c r="J70" s="758"/>
      <c r="K70" s="183">
        <f t="shared" si="19"/>
        <v>256799.29000000004</v>
      </c>
      <c r="L70" s="184">
        <f t="shared" si="20"/>
        <v>0.85312008771480763</v>
      </c>
      <c r="M70" s="758"/>
    </row>
    <row r="71" spans="1:13" s="246" customFormat="1" x14ac:dyDescent="0.2">
      <c r="A71" s="242">
        <v>2222</v>
      </c>
      <c r="B71" s="248" t="s">
        <v>420</v>
      </c>
      <c r="C71" s="202">
        <v>27448.09</v>
      </c>
      <c r="D71" s="211">
        <v>28111.036400000005</v>
      </c>
      <c r="E71" s="202">
        <v>27448.09</v>
      </c>
      <c r="F71" s="211">
        <v>28111.036400000005</v>
      </c>
      <c r="G71" s="555">
        <v>32105.09</v>
      </c>
      <c r="H71" s="189">
        <f t="shared" si="17"/>
        <v>3994.0535999999956</v>
      </c>
      <c r="I71" s="182">
        <f t="shared" si="18"/>
        <v>0.14208133571339956</v>
      </c>
      <c r="J71" s="758"/>
      <c r="K71" s="183">
        <f t="shared" si="19"/>
        <v>4657</v>
      </c>
      <c r="L71" s="184">
        <f t="shared" si="20"/>
        <v>0.16966572173145744</v>
      </c>
      <c r="M71" s="758"/>
    </row>
    <row r="72" spans="1:13" s="235" customFormat="1" x14ac:dyDescent="0.2">
      <c r="A72" s="242">
        <v>2223</v>
      </c>
      <c r="B72" s="248" t="s">
        <v>45</v>
      </c>
      <c r="C72" s="202">
        <v>228063.69</v>
      </c>
      <c r="D72" s="211">
        <v>399772.475332</v>
      </c>
      <c r="E72" s="202">
        <v>228063.69</v>
      </c>
      <c r="F72" s="211">
        <v>399772.475332</v>
      </c>
      <c r="G72" s="555">
        <v>437827.84000000003</v>
      </c>
      <c r="H72" s="189">
        <f t="shared" si="17"/>
        <v>38055.364668000024</v>
      </c>
      <c r="I72" s="182">
        <f t="shared" si="18"/>
        <v>9.5192558308062836E-2</v>
      </c>
      <c r="J72" s="758"/>
      <c r="K72" s="183">
        <f t="shared" si="19"/>
        <v>209764.15000000002</v>
      </c>
      <c r="L72" s="184">
        <f t="shared" si="20"/>
        <v>0.91976127370385008</v>
      </c>
      <c r="M72" s="758"/>
    </row>
    <row r="73" spans="1:13" s="235" customFormat="1" ht="47.25" x14ac:dyDescent="0.2">
      <c r="A73" s="242">
        <v>2224</v>
      </c>
      <c r="B73" s="248" t="s">
        <v>158</v>
      </c>
      <c r="C73" s="202">
        <v>58889.279999999999</v>
      </c>
      <c r="D73" s="211">
        <v>73623.1875</v>
      </c>
      <c r="E73" s="202">
        <v>58889.279999999999</v>
      </c>
      <c r="F73" s="211">
        <v>73623.1875</v>
      </c>
      <c r="G73" s="555">
        <v>79909.27</v>
      </c>
      <c r="H73" s="189">
        <f t="shared" si="17"/>
        <v>6286.0825000000041</v>
      </c>
      <c r="I73" s="182">
        <f t="shared" si="18"/>
        <v>8.5381830282748955E-2</v>
      </c>
      <c r="J73" s="758"/>
      <c r="K73" s="183">
        <f t="shared" si="19"/>
        <v>21019.990000000005</v>
      </c>
      <c r="L73" s="184">
        <f t="shared" si="20"/>
        <v>0.35694085578903334</v>
      </c>
      <c r="M73" s="758"/>
    </row>
    <row r="74" spans="1:13" s="235" customFormat="1" ht="127.5" customHeight="1" x14ac:dyDescent="0.2">
      <c r="A74" s="242">
        <v>2229</v>
      </c>
      <c r="B74" s="248" t="s">
        <v>46</v>
      </c>
      <c r="C74" s="202">
        <v>0</v>
      </c>
      <c r="D74" s="202">
        <v>0</v>
      </c>
      <c r="E74" s="202">
        <v>0</v>
      </c>
      <c r="F74" s="202">
        <v>0</v>
      </c>
      <c r="G74" s="555"/>
      <c r="H74" s="189">
        <f t="shared" si="17"/>
        <v>0</v>
      </c>
      <c r="I74" s="182" t="str">
        <f t="shared" si="18"/>
        <v>-</v>
      </c>
      <c r="J74" s="759"/>
      <c r="K74" s="183">
        <f t="shared" si="19"/>
        <v>0</v>
      </c>
      <c r="L74" s="184" t="str">
        <f t="shared" si="20"/>
        <v>-</v>
      </c>
      <c r="M74" s="759"/>
    </row>
    <row r="75" spans="1:13" s="235" customFormat="1" ht="19.5" customHeight="1" x14ac:dyDescent="0.2">
      <c r="A75" s="245">
        <v>2230</v>
      </c>
      <c r="B75" s="247" t="s">
        <v>421</v>
      </c>
      <c r="C75" s="191">
        <f>SUM(C76:C82)</f>
        <v>415974.73</v>
      </c>
      <c r="D75" s="191">
        <v>428127.5257</v>
      </c>
      <c r="E75" s="191">
        <f>SUM(E76:E82)</f>
        <v>415974.73</v>
      </c>
      <c r="F75" s="191">
        <v>428127.5257</v>
      </c>
      <c r="G75" s="553">
        <f>SUM(G76:G82)</f>
        <v>470776.64999999997</v>
      </c>
      <c r="H75" s="189">
        <f t="shared" si="17"/>
        <v>42649.124299999967</v>
      </c>
      <c r="I75" s="182">
        <f t="shared" si="18"/>
        <v>9.961780483576127E-2</v>
      </c>
      <c r="J75" s="369"/>
      <c r="K75" s="189">
        <f t="shared" si="19"/>
        <v>54801.919999999984</v>
      </c>
      <c r="L75" s="182">
        <f t="shared" si="20"/>
        <v>0.13174338739278701</v>
      </c>
      <c r="M75" s="336"/>
    </row>
    <row r="76" spans="1:13" s="246" customFormat="1" ht="31.5" x14ac:dyDescent="0.2">
      <c r="A76" s="242">
        <v>2231</v>
      </c>
      <c r="B76" s="248" t="s">
        <v>422</v>
      </c>
      <c r="C76" s="202">
        <v>0</v>
      </c>
      <c r="D76" s="202">
        <v>0</v>
      </c>
      <c r="E76" s="202">
        <v>0</v>
      </c>
      <c r="F76" s="202">
        <v>0</v>
      </c>
      <c r="G76" s="555"/>
      <c r="H76" s="189">
        <f t="shared" si="17"/>
        <v>0</v>
      </c>
      <c r="I76" s="182" t="str">
        <f t="shared" si="18"/>
        <v>-</v>
      </c>
      <c r="J76" s="243"/>
      <c r="K76" s="195">
        <f t="shared" si="19"/>
        <v>0</v>
      </c>
      <c r="L76" s="203" t="str">
        <f t="shared" si="20"/>
        <v>-</v>
      </c>
      <c r="M76" s="243"/>
    </row>
    <row r="77" spans="1:13" s="235" customFormat="1" ht="31.5" x14ac:dyDescent="0.2">
      <c r="A77" s="242">
        <v>2232</v>
      </c>
      <c r="B77" s="248" t="s">
        <v>423</v>
      </c>
      <c r="C77" s="202">
        <v>0</v>
      </c>
      <c r="D77" s="202">
        <v>0</v>
      </c>
      <c r="E77" s="202">
        <v>0</v>
      </c>
      <c r="F77" s="202">
        <v>0</v>
      </c>
      <c r="G77" s="555"/>
      <c r="H77" s="189">
        <f t="shared" si="17"/>
        <v>0</v>
      </c>
      <c r="I77" s="182" t="str">
        <f t="shared" si="18"/>
        <v>-</v>
      </c>
      <c r="J77" s="243"/>
      <c r="K77" s="195">
        <f t="shared" si="19"/>
        <v>0</v>
      </c>
      <c r="L77" s="203" t="str">
        <f t="shared" si="20"/>
        <v>-</v>
      </c>
      <c r="M77" s="243"/>
    </row>
    <row r="78" spans="1:13" s="235" customFormat="1" ht="110.25" x14ac:dyDescent="0.2">
      <c r="A78" s="242">
        <v>2233</v>
      </c>
      <c r="B78" s="248" t="s">
        <v>47</v>
      </c>
      <c r="C78" s="202">
        <v>4017.31</v>
      </c>
      <c r="D78" s="202">
        <v>4835.33</v>
      </c>
      <c r="E78" s="202">
        <v>4017.31</v>
      </c>
      <c r="F78" s="202">
        <v>4835.33</v>
      </c>
      <c r="G78" s="555">
        <v>4469.22</v>
      </c>
      <c r="H78" s="189">
        <f t="shared" si="17"/>
        <v>-366.10999999999967</v>
      </c>
      <c r="I78" s="182">
        <f t="shared" si="18"/>
        <v>-7.5715618168770218E-2</v>
      </c>
      <c r="J78" s="652" t="s">
        <v>800</v>
      </c>
      <c r="K78" s="186">
        <f t="shared" si="19"/>
        <v>451.91000000000031</v>
      </c>
      <c r="L78" s="187">
        <f t="shared" si="20"/>
        <v>0.11249069651084938</v>
      </c>
      <c r="M78" s="652" t="s">
        <v>826</v>
      </c>
    </row>
    <row r="79" spans="1:13" s="235" customFormat="1" ht="31.5" x14ac:dyDescent="0.2">
      <c r="A79" s="242">
        <v>2234</v>
      </c>
      <c r="B79" s="248" t="s">
        <v>48</v>
      </c>
      <c r="C79" s="202">
        <v>0</v>
      </c>
      <c r="D79" s="202">
        <v>0</v>
      </c>
      <c r="E79" s="202">
        <v>0</v>
      </c>
      <c r="F79" s="202">
        <v>0</v>
      </c>
      <c r="G79" s="555"/>
      <c r="H79" s="189">
        <f t="shared" si="17"/>
        <v>0</v>
      </c>
      <c r="I79" s="182" t="str">
        <f t="shared" si="18"/>
        <v>-</v>
      </c>
      <c r="J79" s="243"/>
      <c r="K79" s="195">
        <f t="shared" si="19"/>
        <v>0</v>
      </c>
      <c r="L79" s="203" t="str">
        <f t="shared" si="20"/>
        <v>-</v>
      </c>
      <c r="M79" s="335"/>
    </row>
    <row r="80" spans="1:13" s="235" customFormat="1" ht="94.5" x14ac:dyDescent="0.2">
      <c r="A80" s="242">
        <v>2235</v>
      </c>
      <c r="B80" s="248" t="s">
        <v>424</v>
      </c>
      <c r="C80" s="202">
        <v>564.55999999999995</v>
      </c>
      <c r="D80" s="202">
        <v>6000</v>
      </c>
      <c r="E80" s="202">
        <v>564.55999999999995</v>
      </c>
      <c r="F80" s="202">
        <v>6000</v>
      </c>
      <c r="G80" s="555">
        <v>4013.65</v>
      </c>
      <c r="H80" s="189">
        <f t="shared" si="17"/>
        <v>-1986.35</v>
      </c>
      <c r="I80" s="182">
        <f t="shared" si="18"/>
        <v>-0.33105833333333334</v>
      </c>
      <c r="J80" s="652" t="s">
        <v>801</v>
      </c>
      <c r="K80" s="183">
        <f t="shared" si="19"/>
        <v>3449.09</v>
      </c>
      <c r="L80" s="184">
        <f t="shared" si="20"/>
        <v>6.1093417882953105</v>
      </c>
      <c r="M80" s="661" t="s">
        <v>827</v>
      </c>
    </row>
    <row r="81" spans="1:13" s="235" customFormat="1" ht="236.25" x14ac:dyDescent="0.2">
      <c r="A81" s="242">
        <v>2236</v>
      </c>
      <c r="B81" s="248" t="s">
        <v>425</v>
      </c>
      <c r="C81" s="202">
        <v>8616.9</v>
      </c>
      <c r="D81" s="202">
        <v>11588.6657</v>
      </c>
      <c r="E81" s="202">
        <v>8616.9</v>
      </c>
      <c r="F81" s="202">
        <v>11588.6657</v>
      </c>
      <c r="G81" s="555">
        <v>9489.42</v>
      </c>
      <c r="H81" s="189">
        <f t="shared" si="17"/>
        <v>-2099.2456999999995</v>
      </c>
      <c r="I81" s="182">
        <f t="shared" si="18"/>
        <v>-0.18114645415994696</v>
      </c>
      <c r="J81" s="652" t="s">
        <v>802</v>
      </c>
      <c r="K81" s="183">
        <f t="shared" si="19"/>
        <v>872.52000000000044</v>
      </c>
      <c r="L81" s="184">
        <f t="shared" si="20"/>
        <v>0.10125683250356862</v>
      </c>
      <c r="M81" s="652" t="s">
        <v>828</v>
      </c>
    </row>
    <row r="82" spans="1:13" s="235" customFormat="1" ht="288.75" customHeight="1" x14ac:dyDescent="0.2">
      <c r="A82" s="242">
        <v>2239</v>
      </c>
      <c r="B82" s="248" t="s">
        <v>426</v>
      </c>
      <c r="C82" s="202">
        <f>34.22+402731.44+10.3</f>
        <v>402775.95999999996</v>
      </c>
      <c r="D82" s="202">
        <v>405703.52999999997</v>
      </c>
      <c r="E82" s="202">
        <f>34.22+402731.44+10.3</f>
        <v>402775.95999999996</v>
      </c>
      <c r="F82" s="202">
        <v>405703.52999999997</v>
      </c>
      <c r="G82" s="555">
        <f>453570.17+233.53-1000.34+1</f>
        <v>452804.36</v>
      </c>
      <c r="H82" s="189">
        <f t="shared" si="17"/>
        <v>47100.830000000016</v>
      </c>
      <c r="I82" s="182">
        <f t="shared" si="18"/>
        <v>0.11609667285862664</v>
      </c>
      <c r="J82" s="652" t="s">
        <v>803</v>
      </c>
      <c r="K82" s="183">
        <f t="shared" si="19"/>
        <v>50028.400000000023</v>
      </c>
      <c r="L82" s="184">
        <f t="shared" si="20"/>
        <v>0.12420900194738541</v>
      </c>
      <c r="M82" s="652" t="s">
        <v>829</v>
      </c>
    </row>
    <row r="83" spans="1:13" s="246" customFormat="1" ht="138" customHeight="1" x14ac:dyDescent="0.2">
      <c r="A83" s="245">
        <v>2240</v>
      </c>
      <c r="B83" s="247" t="s">
        <v>159</v>
      </c>
      <c r="C83" s="191">
        <f t="shared" ref="C83:E83" si="22">SUM(C84:C89)</f>
        <v>428781.48000000004</v>
      </c>
      <c r="D83" s="191">
        <v>576692.89000000013</v>
      </c>
      <c r="E83" s="191">
        <f t="shared" si="22"/>
        <v>428781.48000000004</v>
      </c>
      <c r="F83" s="191">
        <v>576692.89000000013</v>
      </c>
      <c r="G83" s="553">
        <f t="shared" ref="G83" si="23">SUM(G84:G89)</f>
        <v>331142.3</v>
      </c>
      <c r="H83" s="189">
        <f t="shared" si="17"/>
        <v>-245550.59000000014</v>
      </c>
      <c r="I83" s="182">
        <f t="shared" si="18"/>
        <v>-0.42579090926541524</v>
      </c>
      <c r="J83" s="757" t="s">
        <v>804</v>
      </c>
      <c r="K83" s="189">
        <f t="shared" si="19"/>
        <v>-97639.180000000051</v>
      </c>
      <c r="L83" s="182">
        <f t="shared" si="20"/>
        <v>-0.22771314656593852</v>
      </c>
      <c r="M83" s="757" t="s">
        <v>830</v>
      </c>
    </row>
    <row r="84" spans="1:13" s="235" customFormat="1" x14ac:dyDescent="0.2">
      <c r="A84" s="242">
        <v>2241</v>
      </c>
      <c r="B84" s="248" t="s">
        <v>427</v>
      </c>
      <c r="C84" s="202">
        <v>115825</v>
      </c>
      <c r="D84" s="202">
        <v>114573</v>
      </c>
      <c r="E84" s="202">
        <v>115825</v>
      </c>
      <c r="F84" s="202">
        <v>114573</v>
      </c>
      <c r="G84" s="555">
        <v>1601.64</v>
      </c>
      <c r="H84" s="249">
        <f t="shared" si="17"/>
        <v>-112971.36</v>
      </c>
      <c r="I84" s="188">
        <f t="shared" si="18"/>
        <v>-0.98602079023853784</v>
      </c>
      <c r="J84" s="758"/>
      <c r="K84" s="183">
        <f t="shared" si="19"/>
        <v>-114223.36</v>
      </c>
      <c r="L84" s="184">
        <f t="shared" si="20"/>
        <v>-0.98617189725879562</v>
      </c>
      <c r="M84" s="758"/>
    </row>
    <row r="85" spans="1:13" s="235" customFormat="1" x14ac:dyDescent="0.2">
      <c r="A85" s="242">
        <v>2242</v>
      </c>
      <c r="B85" s="248" t="s">
        <v>49</v>
      </c>
      <c r="C85" s="202">
        <v>1123.26</v>
      </c>
      <c r="D85" s="202">
        <v>894.42000000000007</v>
      </c>
      <c r="E85" s="202">
        <v>1123.26</v>
      </c>
      <c r="F85" s="202">
        <v>894.42000000000007</v>
      </c>
      <c r="G85" s="555">
        <v>2299.4699999999998</v>
      </c>
      <c r="H85" s="249">
        <f t="shared" si="17"/>
        <v>1405.0499999999997</v>
      </c>
      <c r="I85" s="188">
        <f t="shared" si="18"/>
        <v>1.5709062856376195</v>
      </c>
      <c r="J85" s="758"/>
      <c r="K85" s="183">
        <f t="shared" si="19"/>
        <v>1176.2099999999998</v>
      </c>
      <c r="L85" s="184">
        <f t="shared" si="20"/>
        <v>1.0471395758773567</v>
      </c>
      <c r="M85" s="758"/>
    </row>
    <row r="86" spans="1:13" s="235" customFormat="1" ht="31.5" x14ac:dyDescent="0.2">
      <c r="A86" s="242">
        <v>2243</v>
      </c>
      <c r="B86" s="248" t="s">
        <v>50</v>
      </c>
      <c r="C86" s="202">
        <v>187226.64</v>
      </c>
      <c r="D86" s="202">
        <v>184170.44</v>
      </c>
      <c r="E86" s="202">
        <v>187226.64</v>
      </c>
      <c r="F86" s="202">
        <v>184170.44</v>
      </c>
      <c r="G86" s="555">
        <v>198914.75</v>
      </c>
      <c r="H86" s="249">
        <f t="shared" si="17"/>
        <v>14744.309999999998</v>
      </c>
      <c r="I86" s="188">
        <f t="shared" si="18"/>
        <v>8.0057961527376473E-2</v>
      </c>
      <c r="J86" s="758"/>
      <c r="K86" s="183">
        <f t="shared" si="19"/>
        <v>11688.109999999986</v>
      </c>
      <c r="L86" s="184">
        <f t="shared" si="20"/>
        <v>6.2427601114883997E-2</v>
      </c>
      <c r="M86" s="758"/>
    </row>
    <row r="87" spans="1:13" s="235" customFormat="1" x14ac:dyDescent="0.2">
      <c r="A87" s="242">
        <v>2244</v>
      </c>
      <c r="B87" s="248" t="s">
        <v>160</v>
      </c>
      <c r="C87" s="202">
        <v>20969.240000000002</v>
      </c>
      <c r="D87" s="202">
        <v>20802.769999999997</v>
      </c>
      <c r="E87" s="202">
        <v>20969.240000000002</v>
      </c>
      <c r="F87" s="202">
        <v>20802.769999999997</v>
      </c>
      <c r="G87" s="555">
        <v>22715.47</v>
      </c>
      <c r="H87" s="249">
        <f t="shared" si="17"/>
        <v>1912.7000000000044</v>
      </c>
      <c r="I87" s="188">
        <f t="shared" si="18"/>
        <v>9.1944486239092418E-2</v>
      </c>
      <c r="J87" s="758"/>
      <c r="K87" s="183">
        <f t="shared" si="19"/>
        <v>1746.2299999999996</v>
      </c>
      <c r="L87" s="184">
        <f t="shared" si="20"/>
        <v>8.3275788726725405E-2</v>
      </c>
      <c r="M87" s="758"/>
    </row>
    <row r="88" spans="1:13" s="235" customFormat="1" x14ac:dyDescent="0.2">
      <c r="A88" s="242">
        <v>2247</v>
      </c>
      <c r="B88" s="248" t="s">
        <v>51</v>
      </c>
      <c r="C88" s="202">
        <v>2191.2600000000002</v>
      </c>
      <c r="D88" s="202">
        <v>2362.2600000000007</v>
      </c>
      <c r="E88" s="202">
        <v>2191.2600000000002</v>
      </c>
      <c r="F88" s="202">
        <v>2362.2600000000007</v>
      </c>
      <c r="G88" s="555">
        <f>18.41+2985.78</f>
        <v>3004.19</v>
      </c>
      <c r="H88" s="249">
        <f t="shared" si="17"/>
        <v>641.92999999999938</v>
      </c>
      <c r="I88" s="188">
        <f t="shared" si="18"/>
        <v>0.27174400785688246</v>
      </c>
      <c r="J88" s="758"/>
      <c r="K88" s="183">
        <f t="shared" si="19"/>
        <v>812.92999999999984</v>
      </c>
      <c r="L88" s="184">
        <f t="shared" si="20"/>
        <v>0.37098746839717778</v>
      </c>
      <c r="M88" s="758"/>
    </row>
    <row r="89" spans="1:13" s="235" customFormat="1" ht="31.5" x14ac:dyDescent="0.2">
      <c r="A89" s="242">
        <v>2249</v>
      </c>
      <c r="B89" s="248" t="s">
        <v>52</v>
      </c>
      <c r="C89" s="202">
        <v>101446.08</v>
      </c>
      <c r="D89" s="202">
        <v>253890</v>
      </c>
      <c r="E89" s="202">
        <v>101446.08</v>
      </c>
      <c r="F89" s="202">
        <v>253890</v>
      </c>
      <c r="G89" s="555">
        <v>102606.78</v>
      </c>
      <c r="H89" s="249">
        <f t="shared" si="17"/>
        <v>-151283.22</v>
      </c>
      <c r="I89" s="188">
        <f t="shared" si="18"/>
        <v>-0.59586127850643977</v>
      </c>
      <c r="J89" s="759"/>
      <c r="K89" s="183">
        <f t="shared" si="19"/>
        <v>1160.6999999999971</v>
      </c>
      <c r="L89" s="184">
        <f t="shared" si="20"/>
        <v>1.1441546090297398E-2</v>
      </c>
      <c r="M89" s="759"/>
    </row>
    <row r="90" spans="1:13" s="246" customFormat="1" ht="47.25" x14ac:dyDescent="0.2">
      <c r="A90" s="245">
        <v>2250</v>
      </c>
      <c r="B90" s="247" t="s">
        <v>53</v>
      </c>
      <c r="C90" s="201">
        <v>151801.4</v>
      </c>
      <c r="D90" s="201">
        <v>156320.28</v>
      </c>
      <c r="E90" s="201">
        <v>151801.4</v>
      </c>
      <c r="F90" s="201">
        <v>156320.28</v>
      </c>
      <c r="G90" s="556">
        <v>146546.73000000001</v>
      </c>
      <c r="H90" s="189">
        <f t="shared" si="17"/>
        <v>-9773.5499999999884</v>
      </c>
      <c r="I90" s="182">
        <f t="shared" si="18"/>
        <v>-6.2522597835674223E-2</v>
      </c>
      <c r="J90" s="654" t="s">
        <v>805</v>
      </c>
      <c r="K90" s="185">
        <f t="shared" si="19"/>
        <v>-5254.6699999999837</v>
      </c>
      <c r="L90" s="182">
        <f t="shared" si="20"/>
        <v>-3.461542515418161E-2</v>
      </c>
      <c r="M90" s="344"/>
    </row>
    <row r="91" spans="1:13" s="246" customFormat="1" ht="19.5" customHeight="1" x14ac:dyDescent="0.2">
      <c r="A91" s="245">
        <v>2260</v>
      </c>
      <c r="B91" s="247" t="s">
        <v>54</v>
      </c>
      <c r="C91" s="191">
        <f t="shared" ref="C91:E91" si="24">SUM(C92:C96)</f>
        <v>38038.9</v>
      </c>
      <c r="D91" s="191">
        <v>37393.729999999996</v>
      </c>
      <c r="E91" s="191">
        <f t="shared" si="24"/>
        <v>38038.9</v>
      </c>
      <c r="F91" s="191">
        <v>37393.729999999996</v>
      </c>
      <c r="G91" s="553">
        <f t="shared" ref="G91" si="25">SUM(G92:G96)</f>
        <v>48758.93</v>
      </c>
      <c r="H91" s="189">
        <f t="shared" si="17"/>
        <v>11365.200000000004</v>
      </c>
      <c r="I91" s="182">
        <f t="shared" si="18"/>
        <v>0.30393330646608419</v>
      </c>
      <c r="J91" s="757" t="s">
        <v>806</v>
      </c>
      <c r="K91" s="189">
        <f t="shared" si="19"/>
        <v>10720.029999999999</v>
      </c>
      <c r="L91" s="182">
        <f t="shared" si="20"/>
        <v>0.28181756044470263</v>
      </c>
      <c r="M91" s="757" t="s">
        <v>831</v>
      </c>
    </row>
    <row r="92" spans="1:13" s="235" customFormat="1" x14ac:dyDescent="0.2">
      <c r="A92" s="242">
        <v>2261</v>
      </c>
      <c r="B92" s="248" t="s">
        <v>55</v>
      </c>
      <c r="C92" s="202">
        <v>0</v>
      </c>
      <c r="D92" s="202">
        <v>0</v>
      </c>
      <c r="E92" s="202">
        <v>0</v>
      </c>
      <c r="F92" s="202">
        <v>0</v>
      </c>
      <c r="G92" s="555"/>
      <c r="H92" s="249">
        <f t="shared" si="17"/>
        <v>0</v>
      </c>
      <c r="I92" s="188" t="str">
        <f t="shared" si="18"/>
        <v>-</v>
      </c>
      <c r="J92" s="760"/>
      <c r="K92" s="183">
        <f t="shared" si="19"/>
        <v>0</v>
      </c>
      <c r="L92" s="184" t="str">
        <f t="shared" si="20"/>
        <v>-</v>
      </c>
      <c r="M92" s="758"/>
    </row>
    <row r="93" spans="1:13" s="235" customFormat="1" x14ac:dyDescent="0.2">
      <c r="A93" s="242">
        <v>2262</v>
      </c>
      <c r="B93" s="248" t="s">
        <v>56</v>
      </c>
      <c r="C93" s="202">
        <v>0</v>
      </c>
      <c r="D93" s="202">
        <v>0</v>
      </c>
      <c r="E93" s="202">
        <v>0</v>
      </c>
      <c r="F93" s="202">
        <v>0</v>
      </c>
      <c r="G93" s="555"/>
      <c r="H93" s="249">
        <f t="shared" si="17"/>
        <v>0</v>
      </c>
      <c r="I93" s="188" t="str">
        <f t="shared" si="18"/>
        <v>-</v>
      </c>
      <c r="J93" s="760"/>
      <c r="K93" s="183">
        <f t="shared" si="19"/>
        <v>0</v>
      </c>
      <c r="L93" s="184" t="str">
        <f t="shared" si="20"/>
        <v>-</v>
      </c>
      <c r="M93" s="758"/>
    </row>
    <row r="94" spans="1:13" s="235" customFormat="1" x14ac:dyDescent="0.2">
      <c r="A94" s="242">
        <v>2263</v>
      </c>
      <c r="B94" s="248" t="s">
        <v>57</v>
      </c>
      <c r="C94" s="202">
        <v>0</v>
      </c>
      <c r="D94" s="202">
        <v>0</v>
      </c>
      <c r="E94" s="202">
        <v>0</v>
      </c>
      <c r="F94" s="202">
        <v>0</v>
      </c>
      <c r="G94" s="555"/>
      <c r="H94" s="249">
        <f t="shared" si="17"/>
        <v>0</v>
      </c>
      <c r="I94" s="188" t="str">
        <f t="shared" si="18"/>
        <v>-</v>
      </c>
      <c r="J94" s="760"/>
      <c r="K94" s="183">
        <f t="shared" si="19"/>
        <v>0</v>
      </c>
      <c r="L94" s="184" t="str">
        <f t="shared" si="20"/>
        <v>-</v>
      </c>
      <c r="M94" s="758"/>
    </row>
    <row r="95" spans="1:13" s="235" customFormat="1" x14ac:dyDescent="0.2">
      <c r="A95" s="242">
        <v>2264</v>
      </c>
      <c r="B95" s="248" t="s">
        <v>161</v>
      </c>
      <c r="C95" s="202">
        <v>37835.9</v>
      </c>
      <c r="D95" s="202">
        <v>37216.729999999996</v>
      </c>
      <c r="E95" s="202">
        <v>37835.9</v>
      </c>
      <c r="F95" s="202">
        <v>37216.729999999996</v>
      </c>
      <c r="G95" s="555">
        <v>48758.93</v>
      </c>
      <c r="H95" s="232">
        <f t="shared" si="17"/>
        <v>11542.200000000004</v>
      </c>
      <c r="I95" s="188">
        <f t="shared" si="18"/>
        <v>0.31013471629560163</v>
      </c>
      <c r="J95" s="760"/>
      <c r="K95" s="183">
        <f t="shared" si="19"/>
        <v>10923.029999999999</v>
      </c>
      <c r="L95" s="184">
        <f t="shared" si="20"/>
        <v>0.28869486387267113</v>
      </c>
      <c r="M95" s="758"/>
    </row>
    <row r="96" spans="1:13" s="235" customFormat="1" ht="159.75" customHeight="1" x14ac:dyDescent="0.2">
      <c r="A96" s="242">
        <v>2269</v>
      </c>
      <c r="B96" s="248" t="s">
        <v>58</v>
      </c>
      <c r="C96" s="202">
        <v>203</v>
      </c>
      <c r="D96" s="202">
        <v>177</v>
      </c>
      <c r="E96" s="202">
        <v>203</v>
      </c>
      <c r="F96" s="202">
        <v>177</v>
      </c>
      <c r="G96" s="555"/>
      <c r="H96" s="249">
        <f t="shared" si="17"/>
        <v>-177</v>
      </c>
      <c r="I96" s="188">
        <f t="shared" si="18"/>
        <v>-1</v>
      </c>
      <c r="J96" s="761"/>
      <c r="K96" s="183">
        <f t="shared" si="19"/>
        <v>-203</v>
      </c>
      <c r="L96" s="184">
        <f t="shared" si="20"/>
        <v>-1</v>
      </c>
      <c r="M96" s="759"/>
    </row>
    <row r="97" spans="1:13" s="235" customFormat="1" ht="19.5" customHeight="1" x14ac:dyDescent="0.2">
      <c r="A97" s="245">
        <v>2270</v>
      </c>
      <c r="B97" s="247" t="s">
        <v>428</v>
      </c>
      <c r="C97" s="191">
        <f t="shared" ref="C97:E97" si="26">SUM(C98:C101)</f>
        <v>5133.75</v>
      </c>
      <c r="D97" s="191">
        <v>19002.25</v>
      </c>
      <c r="E97" s="191">
        <f t="shared" si="26"/>
        <v>5133.75</v>
      </c>
      <c r="F97" s="191">
        <v>19002.25</v>
      </c>
      <c r="G97" s="553">
        <f t="shared" ref="G97" si="27">SUM(G98:G101)</f>
        <v>5496</v>
      </c>
      <c r="H97" s="189">
        <f t="shared" si="17"/>
        <v>-13506.25</v>
      </c>
      <c r="I97" s="182">
        <f t="shared" si="18"/>
        <v>-0.71077109289689377</v>
      </c>
      <c r="J97" s="757" t="s">
        <v>807</v>
      </c>
      <c r="K97" s="189">
        <f t="shared" si="19"/>
        <v>362.25</v>
      </c>
      <c r="L97" s="182">
        <f t="shared" si="20"/>
        <v>7.0562454346238132E-2</v>
      </c>
      <c r="M97" s="757" t="s">
        <v>832</v>
      </c>
    </row>
    <row r="98" spans="1:13" s="235" customFormat="1" x14ac:dyDescent="0.2">
      <c r="A98" s="242">
        <v>2272</v>
      </c>
      <c r="B98" s="248" t="s">
        <v>59</v>
      </c>
      <c r="C98" s="202">
        <v>0</v>
      </c>
      <c r="D98" s="202">
        <v>0</v>
      </c>
      <c r="E98" s="202">
        <v>0</v>
      </c>
      <c r="F98" s="202">
        <v>0</v>
      </c>
      <c r="G98" s="555">
        <v>0</v>
      </c>
      <c r="H98" s="189">
        <f t="shared" si="17"/>
        <v>0</v>
      </c>
      <c r="I98" s="182" t="str">
        <f t="shared" si="18"/>
        <v>-</v>
      </c>
      <c r="J98" s="758"/>
      <c r="K98" s="183">
        <f t="shared" si="19"/>
        <v>0</v>
      </c>
      <c r="L98" s="184" t="str">
        <f t="shared" si="20"/>
        <v>-</v>
      </c>
      <c r="M98" s="758"/>
    </row>
    <row r="99" spans="1:13" s="235" customFormat="1" ht="31.5" x14ac:dyDescent="0.2">
      <c r="A99" s="242">
        <v>2273</v>
      </c>
      <c r="B99" s="248" t="s">
        <v>60</v>
      </c>
      <c r="C99" s="202">
        <v>0</v>
      </c>
      <c r="D99" s="202">
        <v>0</v>
      </c>
      <c r="E99" s="202">
        <v>0</v>
      </c>
      <c r="F99" s="202">
        <v>0</v>
      </c>
      <c r="G99" s="555">
        <v>0</v>
      </c>
      <c r="H99" s="189">
        <f t="shared" ref="H99:H130" si="28">G99-F99</f>
        <v>0</v>
      </c>
      <c r="I99" s="182" t="str">
        <f t="shared" ref="I99:I130" si="29">IFERROR(H99/ABS(F99), "-")</f>
        <v>-</v>
      </c>
      <c r="J99" s="758"/>
      <c r="K99" s="183">
        <f t="shared" ref="K99:K130" si="30">G99-E99</f>
        <v>0</v>
      </c>
      <c r="L99" s="184" t="str">
        <f t="shared" ref="L99:L130" si="31">IFERROR(K99/ABS(E99), "-")</f>
        <v>-</v>
      </c>
      <c r="M99" s="758"/>
    </row>
    <row r="100" spans="1:13" s="235" customFormat="1" ht="31.5" x14ac:dyDescent="0.2">
      <c r="A100" s="242">
        <v>2274</v>
      </c>
      <c r="B100" s="248" t="s">
        <v>429</v>
      </c>
      <c r="C100" s="202">
        <v>0</v>
      </c>
      <c r="D100" s="202">
        <v>0</v>
      </c>
      <c r="E100" s="202">
        <v>0</v>
      </c>
      <c r="F100" s="202">
        <v>0</v>
      </c>
      <c r="G100" s="555">
        <v>0</v>
      </c>
      <c r="H100" s="189">
        <f t="shared" si="28"/>
        <v>0</v>
      </c>
      <c r="I100" s="182" t="str">
        <f t="shared" si="29"/>
        <v>-</v>
      </c>
      <c r="J100" s="758"/>
      <c r="K100" s="183">
        <f t="shared" si="30"/>
        <v>0</v>
      </c>
      <c r="L100" s="184" t="str">
        <f t="shared" si="31"/>
        <v>-</v>
      </c>
      <c r="M100" s="758"/>
    </row>
    <row r="101" spans="1:13" s="235" customFormat="1" ht="105" customHeight="1" x14ac:dyDescent="0.2">
      <c r="A101" s="242">
        <v>2276</v>
      </c>
      <c r="B101" s="248" t="s">
        <v>162</v>
      </c>
      <c r="C101" s="202">
        <v>5133.75</v>
      </c>
      <c r="D101" s="202">
        <v>19002.25</v>
      </c>
      <c r="E101" s="202">
        <v>5133.75</v>
      </c>
      <c r="F101" s="202">
        <v>19002.25</v>
      </c>
      <c r="G101" s="555">
        <v>5496</v>
      </c>
      <c r="H101" s="189">
        <f t="shared" si="28"/>
        <v>-13506.25</v>
      </c>
      <c r="I101" s="182">
        <f t="shared" si="29"/>
        <v>-0.71077109289689377</v>
      </c>
      <c r="J101" s="759"/>
      <c r="K101" s="183">
        <f t="shared" si="30"/>
        <v>362.25</v>
      </c>
      <c r="L101" s="184">
        <f t="shared" si="31"/>
        <v>7.0562454346238132E-2</v>
      </c>
      <c r="M101" s="759"/>
    </row>
    <row r="102" spans="1:13" s="235" customFormat="1" ht="121.5" customHeight="1" x14ac:dyDescent="0.2">
      <c r="A102" s="245">
        <v>2280</v>
      </c>
      <c r="B102" s="247" t="s">
        <v>61</v>
      </c>
      <c r="C102" s="201">
        <v>2404.7800000000002</v>
      </c>
      <c r="D102" s="201">
        <v>2410.84</v>
      </c>
      <c r="E102" s="201">
        <v>2404.7800000000002</v>
      </c>
      <c r="F102" s="201">
        <v>2410.84</v>
      </c>
      <c r="G102" s="556">
        <v>2724.22</v>
      </c>
      <c r="H102" s="189">
        <f t="shared" si="28"/>
        <v>313.37999999999965</v>
      </c>
      <c r="I102" s="182">
        <f t="shared" si="29"/>
        <v>0.12998788803902359</v>
      </c>
      <c r="J102" s="654" t="s">
        <v>808</v>
      </c>
      <c r="K102" s="185">
        <f t="shared" si="30"/>
        <v>319.4399999999996</v>
      </c>
      <c r="L102" s="182">
        <f t="shared" si="31"/>
        <v>0.13283543608978765</v>
      </c>
      <c r="M102" s="654" t="s">
        <v>833</v>
      </c>
    </row>
    <row r="103" spans="1:13" s="246" customFormat="1" ht="75" customHeight="1" x14ac:dyDescent="0.2">
      <c r="A103" s="233">
        <v>2300</v>
      </c>
      <c r="B103" s="247" t="s">
        <v>62</v>
      </c>
      <c r="C103" s="191">
        <f>C104+C109+C113+C114+C128+C129+C136+C137+C138</f>
        <v>5122162.03</v>
      </c>
      <c r="D103" s="191">
        <v>5378026.3247345872</v>
      </c>
      <c r="E103" s="191">
        <f>E104+E109+E113+E114+E128+E129+E136+E137+E138</f>
        <v>5122162.03</v>
      </c>
      <c r="F103" s="191">
        <v>5378026.3247345872</v>
      </c>
      <c r="G103" s="553">
        <f t="shared" ref="G103" si="32">G104+G109+G113+G114+G128+G129+G136+G137+G138</f>
        <v>5696125.0199999996</v>
      </c>
      <c r="H103" s="189">
        <f t="shared" si="28"/>
        <v>318098.69526541233</v>
      </c>
      <c r="I103" s="182">
        <f t="shared" si="29"/>
        <v>5.9147850169943325E-2</v>
      </c>
      <c r="J103" s="331"/>
      <c r="K103" s="189">
        <f t="shared" si="30"/>
        <v>573962.98999999929</v>
      </c>
      <c r="L103" s="182">
        <f t="shared" si="31"/>
        <v>0.11205482892543313</v>
      </c>
      <c r="M103" s="331"/>
    </row>
    <row r="104" spans="1:13" s="235" customFormat="1" ht="31.5" customHeight="1" x14ac:dyDescent="0.2">
      <c r="A104" s="245">
        <v>2310</v>
      </c>
      <c r="B104" s="247" t="s">
        <v>430</v>
      </c>
      <c r="C104" s="191">
        <f t="shared" ref="C104:E104" si="33">SUM(C105:C108)</f>
        <v>140788.06</v>
      </c>
      <c r="D104" s="191">
        <v>121372.89383458647</v>
      </c>
      <c r="E104" s="191">
        <f t="shared" si="33"/>
        <v>140788.06</v>
      </c>
      <c r="F104" s="191">
        <v>121372.89383458647</v>
      </c>
      <c r="G104" s="553">
        <f t="shared" ref="G104" si="34">SUM(G105:G108)</f>
        <v>67707.88</v>
      </c>
      <c r="H104" s="189">
        <f t="shared" si="28"/>
        <v>-53665.013834586469</v>
      </c>
      <c r="I104" s="182">
        <f t="shared" si="29"/>
        <v>-0.44214990793351311</v>
      </c>
      <c r="J104" s="757" t="s">
        <v>809</v>
      </c>
      <c r="K104" s="189">
        <f>G104-E104</f>
        <v>-73080.179999999993</v>
      </c>
      <c r="L104" s="182">
        <f t="shared" si="31"/>
        <v>-0.51907938784013352</v>
      </c>
      <c r="M104" s="757" t="s">
        <v>834</v>
      </c>
    </row>
    <row r="105" spans="1:13" s="235" customFormat="1" x14ac:dyDescent="0.2">
      <c r="A105" s="242">
        <v>2311</v>
      </c>
      <c r="B105" s="248" t="s">
        <v>63</v>
      </c>
      <c r="C105" s="202">
        <v>8397.66</v>
      </c>
      <c r="D105" s="202">
        <v>8587.73</v>
      </c>
      <c r="E105" s="202">
        <v>8397.66</v>
      </c>
      <c r="F105" s="202">
        <v>8587.73</v>
      </c>
      <c r="G105" s="555">
        <v>24066.05</v>
      </c>
      <c r="H105" s="189">
        <f t="shared" si="28"/>
        <v>15478.32</v>
      </c>
      <c r="I105" s="182">
        <f t="shared" si="29"/>
        <v>1.8023761808999585</v>
      </c>
      <c r="J105" s="758"/>
      <c r="K105" s="183">
        <f t="shared" si="30"/>
        <v>15668.39</v>
      </c>
      <c r="L105" s="184">
        <f t="shared" si="31"/>
        <v>1.8658042835742337</v>
      </c>
      <c r="M105" s="758"/>
    </row>
    <row r="106" spans="1:13" s="235" customFormat="1" x14ac:dyDescent="0.2">
      <c r="A106" s="242">
        <v>2312</v>
      </c>
      <c r="B106" s="248" t="s">
        <v>64</v>
      </c>
      <c r="C106" s="202">
        <v>62471.77</v>
      </c>
      <c r="D106" s="202">
        <v>42866.533834586466</v>
      </c>
      <c r="E106" s="202">
        <v>62471.77</v>
      </c>
      <c r="F106" s="202">
        <v>42866.533834586466</v>
      </c>
      <c r="G106" s="555">
        <v>43543.33</v>
      </c>
      <c r="H106" s="189">
        <f t="shared" si="28"/>
        <v>676.79616541353607</v>
      </c>
      <c r="I106" s="182">
        <f t="shared" si="29"/>
        <v>1.5788450916632529E-2</v>
      </c>
      <c r="J106" s="758"/>
      <c r="K106" s="183">
        <f t="shared" si="30"/>
        <v>-18928.439999999995</v>
      </c>
      <c r="L106" s="184">
        <f t="shared" si="31"/>
        <v>-0.30299189537930488</v>
      </c>
      <c r="M106" s="758"/>
    </row>
    <row r="107" spans="1:13" s="246" customFormat="1" x14ac:dyDescent="0.2">
      <c r="A107" s="242">
        <v>2313</v>
      </c>
      <c r="B107" s="248" t="s">
        <v>431</v>
      </c>
      <c r="C107" s="202">
        <v>69918.63</v>
      </c>
      <c r="D107" s="202">
        <v>69918.63</v>
      </c>
      <c r="E107" s="202">
        <v>69918.63</v>
      </c>
      <c r="F107" s="202">
        <v>69918.63</v>
      </c>
      <c r="G107" s="555">
        <v>98.5</v>
      </c>
      <c r="H107" s="189">
        <f t="shared" si="28"/>
        <v>-69820.13</v>
      </c>
      <c r="I107" s="182">
        <f t="shared" si="29"/>
        <v>-0.99859121953619512</v>
      </c>
      <c r="J107" s="758"/>
      <c r="K107" s="183">
        <f t="shared" si="30"/>
        <v>-69820.13</v>
      </c>
      <c r="L107" s="184">
        <f t="shared" si="31"/>
        <v>-0.99859121953619512</v>
      </c>
      <c r="M107" s="758"/>
    </row>
    <row r="108" spans="1:13" s="235" customFormat="1" ht="178.5" customHeight="1" x14ac:dyDescent="0.2">
      <c r="A108" s="242">
        <v>2314</v>
      </c>
      <c r="B108" s="248" t="s">
        <v>432</v>
      </c>
      <c r="C108" s="202">
        <v>0</v>
      </c>
      <c r="D108" s="202">
        <v>0</v>
      </c>
      <c r="E108" s="202">
        <v>0</v>
      </c>
      <c r="F108" s="202">
        <v>0</v>
      </c>
      <c r="G108" s="555"/>
      <c r="H108" s="189">
        <f t="shared" si="28"/>
        <v>0</v>
      </c>
      <c r="I108" s="182" t="str">
        <f t="shared" si="29"/>
        <v>-</v>
      </c>
      <c r="J108" s="759"/>
      <c r="K108" s="183">
        <f t="shared" si="30"/>
        <v>0</v>
      </c>
      <c r="L108" s="184" t="str">
        <f t="shared" si="31"/>
        <v>-</v>
      </c>
      <c r="M108" s="759"/>
    </row>
    <row r="109" spans="1:13" s="235" customFormat="1" ht="43.5" customHeight="1" x14ac:dyDescent="0.2">
      <c r="A109" s="245">
        <v>2320</v>
      </c>
      <c r="B109" s="247" t="s">
        <v>65</v>
      </c>
      <c r="C109" s="191">
        <f t="shared" ref="C109:E109" si="35">SUM(C110:C112)</f>
        <v>1537.2</v>
      </c>
      <c r="D109" s="191">
        <v>2154.4499999999998</v>
      </c>
      <c r="E109" s="191">
        <f t="shared" si="35"/>
        <v>1537.2</v>
      </c>
      <c r="F109" s="191">
        <v>2154.4499999999998</v>
      </c>
      <c r="G109" s="553">
        <f t="shared" ref="G109" si="36">SUM(G110:G112)</f>
        <v>2462.83</v>
      </c>
      <c r="H109" s="189">
        <f t="shared" si="28"/>
        <v>308.38000000000011</v>
      </c>
      <c r="I109" s="182">
        <f t="shared" si="29"/>
        <v>0.14313629928752125</v>
      </c>
      <c r="J109" s="757" t="s">
        <v>810</v>
      </c>
      <c r="K109" s="189">
        <f t="shared" si="30"/>
        <v>925.62999999999988</v>
      </c>
      <c r="L109" s="182">
        <f t="shared" si="31"/>
        <v>0.60215326567785576</v>
      </c>
      <c r="M109" s="757" t="s">
        <v>835</v>
      </c>
    </row>
    <row r="110" spans="1:13" s="235" customFormat="1" x14ac:dyDescent="0.2">
      <c r="A110" s="242">
        <v>2321</v>
      </c>
      <c r="B110" s="248" t="s">
        <v>66</v>
      </c>
      <c r="C110" s="202">
        <v>0</v>
      </c>
      <c r="D110" s="202">
        <v>0</v>
      </c>
      <c r="E110" s="202">
        <v>0</v>
      </c>
      <c r="F110" s="202">
        <v>0</v>
      </c>
      <c r="G110" s="555"/>
      <c r="H110" s="189">
        <f t="shared" si="28"/>
        <v>0</v>
      </c>
      <c r="I110" s="182" t="str">
        <f t="shared" si="29"/>
        <v>-</v>
      </c>
      <c r="J110" s="758"/>
      <c r="K110" s="183">
        <f t="shared" si="30"/>
        <v>0</v>
      </c>
      <c r="L110" s="184" t="str">
        <f t="shared" si="31"/>
        <v>-</v>
      </c>
      <c r="M110" s="758"/>
    </row>
    <row r="111" spans="1:13" s="246" customFormat="1" x14ac:dyDescent="0.2">
      <c r="A111" s="242">
        <v>2322</v>
      </c>
      <c r="B111" s="248" t="s">
        <v>67</v>
      </c>
      <c r="C111" s="202">
        <v>1537.2</v>
      </c>
      <c r="D111" s="202">
        <v>2154.4499999999998</v>
      </c>
      <c r="E111" s="202">
        <v>1537.2</v>
      </c>
      <c r="F111" s="202">
        <v>2154.4499999999998</v>
      </c>
      <c r="G111" s="555">
        <v>2462.83</v>
      </c>
      <c r="H111" s="189">
        <f t="shared" si="28"/>
        <v>308.38000000000011</v>
      </c>
      <c r="I111" s="182">
        <f t="shared" si="29"/>
        <v>0.14313629928752125</v>
      </c>
      <c r="J111" s="758"/>
      <c r="K111" s="183">
        <f t="shared" si="30"/>
        <v>925.62999999999988</v>
      </c>
      <c r="L111" s="184">
        <f t="shared" si="31"/>
        <v>0.60215326567785576</v>
      </c>
      <c r="M111" s="758"/>
    </row>
    <row r="112" spans="1:13" s="246" customFormat="1" ht="31.5" customHeight="1" x14ac:dyDescent="0.2">
      <c r="A112" s="242">
        <v>2329</v>
      </c>
      <c r="B112" s="248" t="s">
        <v>68</v>
      </c>
      <c r="C112" s="202">
        <v>0</v>
      </c>
      <c r="D112" s="202">
        <v>0</v>
      </c>
      <c r="E112" s="202">
        <v>0</v>
      </c>
      <c r="F112" s="202">
        <v>0</v>
      </c>
      <c r="G112" s="555"/>
      <c r="H112" s="189">
        <f t="shared" si="28"/>
        <v>0</v>
      </c>
      <c r="I112" s="182" t="str">
        <f t="shared" si="29"/>
        <v>-</v>
      </c>
      <c r="J112" s="759"/>
      <c r="K112" s="183">
        <f t="shared" si="30"/>
        <v>0</v>
      </c>
      <c r="L112" s="184" t="str">
        <f t="shared" si="31"/>
        <v>-</v>
      </c>
      <c r="M112" s="759"/>
    </row>
    <row r="113" spans="1:13" s="235" customFormat="1" ht="19.5" customHeight="1" x14ac:dyDescent="0.2">
      <c r="A113" s="245">
        <v>2330</v>
      </c>
      <c r="B113" s="247" t="s">
        <v>69</v>
      </c>
      <c r="C113" s="201">
        <v>0</v>
      </c>
      <c r="D113" s="201">
        <v>0</v>
      </c>
      <c r="E113" s="201">
        <v>0</v>
      </c>
      <c r="F113" s="201">
        <v>0</v>
      </c>
      <c r="G113" s="556">
        <v>0</v>
      </c>
      <c r="H113" s="189">
        <f t="shared" si="28"/>
        <v>0</v>
      </c>
      <c r="I113" s="182" t="str">
        <f t="shared" si="29"/>
        <v>-</v>
      </c>
      <c r="J113" s="332"/>
      <c r="K113" s="185">
        <f t="shared" si="30"/>
        <v>0</v>
      </c>
      <c r="L113" s="182" t="str">
        <f t="shared" si="31"/>
        <v>-</v>
      </c>
      <c r="M113" s="332"/>
    </row>
    <row r="114" spans="1:13" s="235" customFormat="1" ht="93.75" customHeight="1" x14ac:dyDescent="0.2">
      <c r="A114" s="245">
        <v>2340</v>
      </c>
      <c r="B114" s="247" t="s">
        <v>70</v>
      </c>
      <c r="C114" s="201">
        <f t="shared" ref="C114:E114" si="37">C115+C121+C124</f>
        <v>4806602.9000000004</v>
      </c>
      <c r="D114" s="201">
        <v>5063154.943500001</v>
      </c>
      <c r="E114" s="201">
        <f t="shared" si="37"/>
        <v>4806602.9000000004</v>
      </c>
      <c r="F114" s="201">
        <v>5063154.943500001</v>
      </c>
      <c r="G114" s="556">
        <f t="shared" ref="G114" si="38">G115+G121+G124</f>
        <v>5393959.8599999994</v>
      </c>
      <c r="H114" s="189">
        <f t="shared" si="28"/>
        <v>330804.91649999842</v>
      </c>
      <c r="I114" s="182">
        <f t="shared" si="29"/>
        <v>6.5335728452213498E-2</v>
      </c>
      <c r="J114" s="337"/>
      <c r="K114" s="185">
        <f t="shared" si="30"/>
        <v>587356.95999999903</v>
      </c>
      <c r="L114" s="182">
        <f t="shared" si="31"/>
        <v>0.12219793734156799</v>
      </c>
      <c r="M114" s="337"/>
    </row>
    <row r="115" spans="1:13" s="235" customFormat="1" ht="45" customHeight="1" x14ac:dyDescent="0.2">
      <c r="A115" s="233">
        <v>2341</v>
      </c>
      <c r="B115" s="247" t="s">
        <v>71</v>
      </c>
      <c r="C115" s="191">
        <f t="shared" ref="C115:E115" si="39">SUM(C116:C120)</f>
        <v>593328.36</v>
      </c>
      <c r="D115" s="191">
        <v>622687.70669999998</v>
      </c>
      <c r="E115" s="191">
        <f t="shared" si="39"/>
        <v>593328.36</v>
      </c>
      <c r="F115" s="191">
        <v>622687.70669999998</v>
      </c>
      <c r="G115" s="553">
        <f t="shared" ref="G115" si="40">SUM(G116:G120)</f>
        <v>671312.74</v>
      </c>
      <c r="H115" s="318">
        <f t="shared" si="28"/>
        <v>48625.03330000001</v>
      </c>
      <c r="I115" s="319">
        <f t="shared" si="29"/>
        <v>7.8088956593817413E-2</v>
      </c>
      <c r="J115" s="338"/>
      <c r="K115" s="318">
        <f t="shared" si="30"/>
        <v>77984.38</v>
      </c>
      <c r="L115" s="319">
        <f t="shared" si="31"/>
        <v>0.13143545000950232</v>
      </c>
      <c r="M115" s="338"/>
    </row>
    <row r="116" spans="1:13" s="235" customFormat="1" ht="139.5" customHeight="1" x14ac:dyDescent="0.2">
      <c r="A116" s="242">
        <v>23411</v>
      </c>
      <c r="B116" s="250" t="s">
        <v>327</v>
      </c>
      <c r="C116" s="211">
        <v>459911.08</v>
      </c>
      <c r="D116" s="211">
        <v>482850.26490000007</v>
      </c>
      <c r="E116" s="211">
        <v>459911.08</v>
      </c>
      <c r="F116" s="211">
        <v>482850.26490000007</v>
      </c>
      <c r="G116" s="554">
        <f>65.2+543933.56</f>
        <v>543998.76</v>
      </c>
      <c r="H116" s="189">
        <f t="shared" si="28"/>
        <v>61148.495099999942</v>
      </c>
      <c r="I116" s="182">
        <f t="shared" si="29"/>
        <v>0.12664069908435072</v>
      </c>
      <c r="J116" s="658" t="s">
        <v>773</v>
      </c>
      <c r="K116" s="183">
        <f t="shared" si="30"/>
        <v>84087.679999999993</v>
      </c>
      <c r="L116" s="184">
        <f t="shared" si="31"/>
        <v>0.18283464708003988</v>
      </c>
      <c r="M116" s="658" t="s">
        <v>836</v>
      </c>
    </row>
    <row r="117" spans="1:13" s="235" customFormat="1" x14ac:dyDescent="0.2">
      <c r="A117" s="242">
        <v>23412</v>
      </c>
      <c r="B117" s="250" t="s">
        <v>343</v>
      </c>
      <c r="C117" s="211">
        <v>40890.32</v>
      </c>
      <c r="D117" s="211">
        <v>42116.7333</v>
      </c>
      <c r="E117" s="211">
        <v>40890.32</v>
      </c>
      <c r="F117" s="211">
        <v>42116.7333</v>
      </c>
      <c r="G117" s="554">
        <v>41637.96</v>
      </c>
      <c r="H117" s="189">
        <f t="shared" si="28"/>
        <v>-478.77330000000075</v>
      </c>
      <c r="I117" s="182">
        <f t="shared" si="29"/>
        <v>-1.1367769114229967E-2</v>
      </c>
      <c r="J117" s="243"/>
      <c r="K117" s="183">
        <f t="shared" si="30"/>
        <v>747.63999999999942</v>
      </c>
      <c r="L117" s="184">
        <f t="shared" si="31"/>
        <v>1.8284033971854449E-2</v>
      </c>
      <c r="M117" s="243"/>
    </row>
    <row r="118" spans="1:13" s="235" customFormat="1" x14ac:dyDescent="0.2">
      <c r="A118" s="242">
        <v>23413</v>
      </c>
      <c r="B118" s="250" t="s">
        <v>342</v>
      </c>
      <c r="C118" s="211">
        <v>92526.96</v>
      </c>
      <c r="D118" s="211">
        <v>97720.708500000022</v>
      </c>
      <c r="E118" s="211">
        <v>92526.96</v>
      </c>
      <c r="F118" s="211">
        <v>97720.708500000022</v>
      </c>
      <c r="G118" s="554">
        <v>85676.02</v>
      </c>
      <c r="H118" s="189">
        <f t="shared" si="28"/>
        <v>-12044.688500000018</v>
      </c>
      <c r="I118" s="182">
        <f t="shared" si="29"/>
        <v>-0.12325625432811936</v>
      </c>
      <c r="J118" s="659" t="s">
        <v>674</v>
      </c>
      <c r="K118" s="183">
        <f t="shared" si="30"/>
        <v>-6850.9400000000023</v>
      </c>
      <c r="L118" s="184">
        <f t="shared" si="31"/>
        <v>-7.4042635789612038E-2</v>
      </c>
      <c r="M118" s="659" t="s">
        <v>674</v>
      </c>
    </row>
    <row r="119" spans="1:13" s="235" customFormat="1" ht="31.5" x14ac:dyDescent="0.2">
      <c r="A119" s="242">
        <v>23415</v>
      </c>
      <c r="B119" s="250" t="s">
        <v>328</v>
      </c>
      <c r="C119" s="211">
        <v>0</v>
      </c>
      <c r="D119" s="202">
        <v>0</v>
      </c>
      <c r="E119" s="211">
        <v>0</v>
      </c>
      <c r="F119" s="202">
        <v>0</v>
      </c>
      <c r="G119" s="554"/>
      <c r="H119" s="189">
        <f t="shared" si="28"/>
        <v>0</v>
      </c>
      <c r="I119" s="182" t="str">
        <f t="shared" si="29"/>
        <v>-</v>
      </c>
      <c r="J119" s="339"/>
      <c r="K119" s="183">
        <f t="shared" si="30"/>
        <v>0</v>
      </c>
      <c r="L119" s="184" t="str">
        <f t="shared" si="31"/>
        <v>-</v>
      </c>
      <c r="M119" s="243"/>
    </row>
    <row r="120" spans="1:13" s="235" customFormat="1" ht="54.75" customHeight="1" x14ac:dyDescent="0.2">
      <c r="A120" s="242">
        <v>23416</v>
      </c>
      <c r="B120" s="250" t="s">
        <v>329</v>
      </c>
      <c r="C120" s="211">
        <v>0</v>
      </c>
      <c r="D120" s="202">
        <v>0</v>
      </c>
      <c r="E120" s="211">
        <v>0</v>
      </c>
      <c r="F120" s="202">
        <v>0</v>
      </c>
      <c r="G120" s="554"/>
      <c r="H120" s="189">
        <f t="shared" si="28"/>
        <v>0</v>
      </c>
      <c r="I120" s="182" t="str">
        <f t="shared" si="29"/>
        <v>-</v>
      </c>
      <c r="J120" s="340"/>
      <c r="K120" s="183">
        <f t="shared" si="30"/>
        <v>0</v>
      </c>
      <c r="L120" s="184" t="str">
        <f t="shared" si="31"/>
        <v>-</v>
      </c>
      <c r="M120" s="243"/>
    </row>
    <row r="121" spans="1:13" s="246" customFormat="1" ht="19.5" customHeight="1" x14ac:dyDescent="0.2">
      <c r="A121" s="233">
        <v>2343</v>
      </c>
      <c r="B121" s="247" t="s">
        <v>354</v>
      </c>
      <c r="C121" s="191">
        <f t="shared" ref="C121:E121" si="41">SUM(C122:C123)</f>
        <v>162426.65</v>
      </c>
      <c r="D121" s="191">
        <v>168500.96429999999</v>
      </c>
      <c r="E121" s="191">
        <f t="shared" si="41"/>
        <v>162426.65</v>
      </c>
      <c r="F121" s="191">
        <v>168500.96429999999</v>
      </c>
      <c r="G121" s="553">
        <f t="shared" ref="G121" si="42">SUM(G122:G123)</f>
        <v>92718.11</v>
      </c>
      <c r="H121" s="189">
        <f t="shared" si="28"/>
        <v>-75782.854299999992</v>
      </c>
      <c r="I121" s="182">
        <f t="shared" si="29"/>
        <v>-0.44974730331558105</v>
      </c>
      <c r="J121" s="754" t="s">
        <v>662</v>
      </c>
      <c r="K121" s="251">
        <f t="shared" si="30"/>
        <v>-69708.539999999994</v>
      </c>
      <c r="L121" s="182">
        <f t="shared" si="31"/>
        <v>-0.42916935121176231</v>
      </c>
      <c r="M121" s="754" t="s">
        <v>837</v>
      </c>
    </row>
    <row r="122" spans="1:13" s="246" customFormat="1" x14ac:dyDescent="0.2">
      <c r="A122" s="242">
        <v>23431</v>
      </c>
      <c r="B122" s="250" t="s">
        <v>284</v>
      </c>
      <c r="C122" s="211">
        <v>162426.65</v>
      </c>
      <c r="D122" s="211">
        <v>168500.96429999999</v>
      </c>
      <c r="E122" s="211">
        <v>162426.65</v>
      </c>
      <c r="F122" s="211">
        <v>168500.96429999999</v>
      </c>
      <c r="G122" s="554">
        <v>92718.11</v>
      </c>
      <c r="H122" s="189">
        <f t="shared" si="28"/>
        <v>-75782.854299999992</v>
      </c>
      <c r="I122" s="182">
        <f t="shared" si="29"/>
        <v>-0.44974730331558105</v>
      </c>
      <c r="J122" s="755"/>
      <c r="K122" s="183">
        <f t="shared" si="30"/>
        <v>-69708.539999999994</v>
      </c>
      <c r="L122" s="184">
        <f t="shared" si="31"/>
        <v>-0.42916935121176231</v>
      </c>
      <c r="M122" s="755"/>
    </row>
    <row r="123" spans="1:13" s="246" customFormat="1" ht="95.25" customHeight="1" x14ac:dyDescent="0.2">
      <c r="A123" s="242">
        <v>23432</v>
      </c>
      <c r="B123" s="250" t="s">
        <v>288</v>
      </c>
      <c r="C123" s="211">
        <v>0</v>
      </c>
      <c r="D123" s="202">
        <v>0</v>
      </c>
      <c r="E123" s="211">
        <v>0</v>
      </c>
      <c r="F123" s="202">
        <v>0</v>
      </c>
      <c r="G123" s="554"/>
      <c r="H123" s="189">
        <f t="shared" si="28"/>
        <v>0</v>
      </c>
      <c r="I123" s="182" t="str">
        <f t="shared" si="29"/>
        <v>-</v>
      </c>
      <c r="J123" s="756"/>
      <c r="K123" s="183">
        <f t="shared" si="30"/>
        <v>0</v>
      </c>
      <c r="L123" s="184" t="str">
        <f t="shared" si="31"/>
        <v>-</v>
      </c>
      <c r="M123" s="756"/>
    </row>
    <row r="124" spans="1:13" s="246" customFormat="1" ht="96" customHeight="1" x14ac:dyDescent="0.2">
      <c r="A124" s="233">
        <v>2344</v>
      </c>
      <c r="B124" s="247" t="s">
        <v>356</v>
      </c>
      <c r="C124" s="191">
        <f>SUM(C125:C127)</f>
        <v>4050847.89</v>
      </c>
      <c r="D124" s="191">
        <v>4271966.2725</v>
      </c>
      <c r="E124" s="191">
        <f>SUM(E125:E127)</f>
        <v>4050847.89</v>
      </c>
      <c r="F124" s="191">
        <v>4271966.2725</v>
      </c>
      <c r="G124" s="553">
        <f t="shared" ref="G124" si="43">SUM(G125:G127)</f>
        <v>4629929.01</v>
      </c>
      <c r="H124" s="189">
        <f t="shared" si="28"/>
        <v>357962.73749999981</v>
      </c>
      <c r="I124" s="182">
        <f t="shared" si="29"/>
        <v>8.3793437182385855E-2</v>
      </c>
      <c r="J124" s="341"/>
      <c r="K124" s="189">
        <f t="shared" si="30"/>
        <v>579081.11999999965</v>
      </c>
      <c r="L124" s="182">
        <f t="shared" si="31"/>
        <v>0.14295306457434018</v>
      </c>
      <c r="M124" s="335"/>
    </row>
    <row r="125" spans="1:13" s="246" customFormat="1" ht="28.5" customHeight="1" x14ac:dyDescent="0.2">
      <c r="A125" s="242">
        <v>23441</v>
      </c>
      <c r="B125" s="248" t="s">
        <v>285</v>
      </c>
      <c r="C125" s="202">
        <v>999250.89</v>
      </c>
      <c r="D125" s="202">
        <v>1060392.1094</v>
      </c>
      <c r="E125" s="202">
        <v>999250.89</v>
      </c>
      <c r="F125" s="202">
        <v>1060392.1094</v>
      </c>
      <c r="G125" s="555">
        <v>1116739.8400000001</v>
      </c>
      <c r="H125" s="189">
        <f t="shared" si="28"/>
        <v>56347.730600000126</v>
      </c>
      <c r="I125" s="182">
        <f t="shared" si="29"/>
        <v>5.313857968245659E-2</v>
      </c>
      <c r="J125" s="754" t="s">
        <v>811</v>
      </c>
      <c r="K125" s="183">
        <f t="shared" si="30"/>
        <v>117488.95000000007</v>
      </c>
      <c r="L125" s="184">
        <f t="shared" si="31"/>
        <v>0.11757702812754069</v>
      </c>
      <c r="M125" s="754" t="s">
        <v>838</v>
      </c>
    </row>
    <row r="126" spans="1:13" s="246" customFormat="1" ht="66" customHeight="1" x14ac:dyDescent="0.2">
      <c r="A126" s="242">
        <v>23442</v>
      </c>
      <c r="B126" s="248" t="s">
        <v>286</v>
      </c>
      <c r="C126" s="202">
        <v>3024273.23</v>
      </c>
      <c r="D126" s="202">
        <v>3179387.68</v>
      </c>
      <c r="E126" s="202">
        <v>3024273.23</v>
      </c>
      <c r="F126" s="202">
        <v>3179387.68</v>
      </c>
      <c r="G126" s="555">
        <v>3479545.21</v>
      </c>
      <c r="H126" s="189">
        <f t="shared" si="28"/>
        <v>300157.5299999998</v>
      </c>
      <c r="I126" s="182">
        <f t="shared" si="29"/>
        <v>9.4407338837017754E-2</v>
      </c>
      <c r="J126" s="756"/>
      <c r="K126" s="183">
        <f t="shared" si="30"/>
        <v>455271.98</v>
      </c>
      <c r="L126" s="184">
        <f t="shared" si="31"/>
        <v>0.15053930163578508</v>
      </c>
      <c r="M126" s="756"/>
    </row>
    <row r="127" spans="1:13" s="246" customFormat="1" ht="213.75" customHeight="1" x14ac:dyDescent="0.2">
      <c r="A127" s="242">
        <v>23443</v>
      </c>
      <c r="B127" s="248" t="s">
        <v>287</v>
      </c>
      <c r="C127" s="202">
        <v>27323.77</v>
      </c>
      <c r="D127" s="202">
        <v>32186.483099999998</v>
      </c>
      <c r="E127" s="202">
        <v>27323.77</v>
      </c>
      <c r="F127" s="202">
        <v>32186.483099999998</v>
      </c>
      <c r="G127" s="555">
        <v>33643.96</v>
      </c>
      <c r="H127" s="189">
        <f t="shared" si="28"/>
        <v>1457.4769000000015</v>
      </c>
      <c r="I127" s="182">
        <f t="shared" si="29"/>
        <v>4.5282266331235228E-2</v>
      </c>
      <c r="J127" s="341"/>
      <c r="K127" s="183">
        <f t="shared" si="30"/>
        <v>6320.1899999999987</v>
      </c>
      <c r="L127" s="184">
        <f t="shared" si="31"/>
        <v>0.23130739279389331</v>
      </c>
      <c r="M127" s="662" t="s">
        <v>772</v>
      </c>
    </row>
    <row r="128" spans="1:13" s="235" customFormat="1" ht="128.25" customHeight="1" x14ac:dyDescent="0.2">
      <c r="A128" s="245">
        <v>2350</v>
      </c>
      <c r="B128" s="247" t="s">
        <v>433</v>
      </c>
      <c r="C128" s="201">
        <v>14472.24</v>
      </c>
      <c r="D128" s="201">
        <v>14471.869999999999</v>
      </c>
      <c r="E128" s="201">
        <v>14472.24</v>
      </c>
      <c r="F128" s="201">
        <v>14471.869999999999</v>
      </c>
      <c r="G128" s="556">
        <v>15818.65</v>
      </c>
      <c r="H128" s="189">
        <f t="shared" si="28"/>
        <v>1346.7800000000007</v>
      </c>
      <c r="I128" s="182">
        <f t="shared" si="29"/>
        <v>9.306191943404693E-2</v>
      </c>
      <c r="J128" s="654" t="s">
        <v>812</v>
      </c>
      <c r="K128" s="185">
        <f t="shared" si="30"/>
        <v>1346.4099999999999</v>
      </c>
      <c r="L128" s="182">
        <f t="shared" si="31"/>
        <v>9.3033974008170109E-2</v>
      </c>
      <c r="M128" s="654" t="s">
        <v>839</v>
      </c>
    </row>
    <row r="129" spans="1:13" s="235" customFormat="1" ht="56.25" customHeight="1" x14ac:dyDescent="0.2">
      <c r="A129" s="245">
        <v>2360</v>
      </c>
      <c r="B129" s="247" t="s">
        <v>434</v>
      </c>
      <c r="C129" s="191">
        <f t="shared" ref="C129:E129" si="44">SUM(C130:C135)</f>
        <v>158761.63</v>
      </c>
      <c r="D129" s="191">
        <v>176872.16739999998</v>
      </c>
      <c r="E129" s="191">
        <f t="shared" si="44"/>
        <v>158761.63</v>
      </c>
      <c r="F129" s="191">
        <v>176872.16739999998</v>
      </c>
      <c r="G129" s="553">
        <f>SUM(G130:G135)</f>
        <v>216175.8</v>
      </c>
      <c r="H129" s="189">
        <f t="shared" si="28"/>
        <v>39303.632600000012</v>
      </c>
      <c r="I129" s="182">
        <f t="shared" si="29"/>
        <v>0.22221490909371883</v>
      </c>
      <c r="J129" s="757" t="s">
        <v>813</v>
      </c>
      <c r="K129" s="189">
        <f t="shared" si="30"/>
        <v>57414.169999999984</v>
      </c>
      <c r="L129" s="182">
        <f t="shared" si="31"/>
        <v>0.3616375694807365</v>
      </c>
      <c r="M129" s="757" t="s">
        <v>840</v>
      </c>
    </row>
    <row r="130" spans="1:13" s="235" customFormat="1" x14ac:dyDescent="0.2">
      <c r="A130" s="242">
        <v>2361</v>
      </c>
      <c r="B130" s="248" t="s">
        <v>72</v>
      </c>
      <c r="C130" s="202">
        <v>15905.26</v>
      </c>
      <c r="D130" s="202">
        <v>18565.419999999995</v>
      </c>
      <c r="E130" s="202">
        <v>15905.26</v>
      </c>
      <c r="F130" s="202">
        <v>18565.419999999995</v>
      </c>
      <c r="G130" s="555">
        <v>10106.549999999999</v>
      </c>
      <c r="H130" s="189">
        <f t="shared" si="28"/>
        <v>-8458.8699999999953</v>
      </c>
      <c r="I130" s="182">
        <f t="shared" si="29"/>
        <v>-0.45562502760508505</v>
      </c>
      <c r="J130" s="758"/>
      <c r="K130" s="183">
        <f t="shared" si="30"/>
        <v>-5798.7100000000009</v>
      </c>
      <c r="L130" s="184">
        <f t="shared" si="31"/>
        <v>-0.36457813327163474</v>
      </c>
      <c r="M130" s="758"/>
    </row>
    <row r="131" spans="1:13" s="235" customFormat="1" ht="31.5" customHeight="1" x14ac:dyDescent="0.2">
      <c r="A131" s="242">
        <v>2362</v>
      </c>
      <c r="B131" s="248" t="s">
        <v>73</v>
      </c>
      <c r="C131" s="202">
        <v>796.11</v>
      </c>
      <c r="D131" s="202">
        <v>796.56</v>
      </c>
      <c r="E131" s="202">
        <v>796.11</v>
      </c>
      <c r="F131" s="202">
        <v>796.56</v>
      </c>
      <c r="G131" s="555">
        <v>217.35</v>
      </c>
      <c r="H131" s="189">
        <f t="shared" ref="H131:H162" si="45">G131-F131</f>
        <v>-579.20999999999992</v>
      </c>
      <c r="I131" s="182">
        <f t="shared" ref="I131:I162" si="46">IFERROR(H131/ABS(F131), "-")</f>
        <v>-0.72713919855378117</v>
      </c>
      <c r="J131" s="758"/>
      <c r="K131" s="183">
        <f t="shared" ref="K131:K162" si="47">G131-E131</f>
        <v>-578.76</v>
      </c>
      <c r="L131" s="184">
        <f t="shared" ref="L131:L162" si="48">IFERROR(K131/ABS(E131), "-")</f>
        <v>-0.72698496438934312</v>
      </c>
      <c r="M131" s="758"/>
    </row>
    <row r="132" spans="1:13" s="235" customFormat="1" x14ac:dyDescent="0.2">
      <c r="A132" s="242">
        <v>2363</v>
      </c>
      <c r="B132" s="248" t="s">
        <v>74</v>
      </c>
      <c r="C132" s="202">
        <v>142060.26</v>
      </c>
      <c r="D132" s="202">
        <v>157510.1874</v>
      </c>
      <c r="E132" s="202">
        <v>142060.26</v>
      </c>
      <c r="F132" s="202">
        <v>157510.1874</v>
      </c>
      <c r="G132" s="555">
        <v>205851.9</v>
      </c>
      <c r="H132" s="189">
        <f t="shared" si="45"/>
        <v>48341.712599999999</v>
      </c>
      <c r="I132" s="182">
        <f t="shared" si="46"/>
        <v>0.30691165694086403</v>
      </c>
      <c r="J132" s="758"/>
      <c r="K132" s="183">
        <f t="shared" si="47"/>
        <v>63791.639999999985</v>
      </c>
      <c r="L132" s="184">
        <f t="shared" si="48"/>
        <v>0.44904634132022553</v>
      </c>
      <c r="M132" s="758"/>
    </row>
    <row r="133" spans="1:13" s="235" customFormat="1" x14ac:dyDescent="0.2">
      <c r="A133" s="242">
        <v>2364</v>
      </c>
      <c r="B133" s="248" t="s">
        <v>435</v>
      </c>
      <c r="C133" s="202">
        <v>0</v>
      </c>
      <c r="D133" s="202">
        <v>0</v>
      </c>
      <c r="E133" s="202">
        <v>0</v>
      </c>
      <c r="F133" s="202">
        <v>0</v>
      </c>
      <c r="G133" s="555"/>
      <c r="H133" s="189">
        <f t="shared" si="45"/>
        <v>0</v>
      </c>
      <c r="I133" s="182" t="str">
        <f t="shared" si="46"/>
        <v>-</v>
      </c>
      <c r="J133" s="758"/>
      <c r="K133" s="183">
        <f t="shared" si="47"/>
        <v>0</v>
      </c>
      <c r="L133" s="184" t="str">
        <f t="shared" si="48"/>
        <v>-</v>
      </c>
      <c r="M133" s="758"/>
    </row>
    <row r="134" spans="1:13" s="246" customFormat="1" ht="47.25" customHeight="1" x14ac:dyDescent="0.2">
      <c r="A134" s="242">
        <v>2366</v>
      </c>
      <c r="B134" s="248" t="s">
        <v>75</v>
      </c>
      <c r="C134" s="202">
        <v>0</v>
      </c>
      <c r="D134" s="202">
        <v>0</v>
      </c>
      <c r="E134" s="202">
        <v>0</v>
      </c>
      <c r="F134" s="202">
        <v>0</v>
      </c>
      <c r="G134" s="555"/>
      <c r="H134" s="189">
        <f t="shared" si="45"/>
        <v>0</v>
      </c>
      <c r="I134" s="182" t="str">
        <f t="shared" si="46"/>
        <v>-</v>
      </c>
      <c r="J134" s="758"/>
      <c r="K134" s="183">
        <f t="shared" si="47"/>
        <v>0</v>
      </c>
      <c r="L134" s="184" t="str">
        <f t="shared" si="48"/>
        <v>-</v>
      </c>
      <c r="M134" s="758"/>
    </row>
    <row r="135" spans="1:13" s="246" customFormat="1" ht="234.75" customHeight="1" x14ac:dyDescent="0.2">
      <c r="A135" s="242">
        <v>2369</v>
      </c>
      <c r="B135" s="248" t="s">
        <v>163</v>
      </c>
      <c r="C135" s="202">
        <v>0</v>
      </c>
      <c r="D135" s="202">
        <v>0</v>
      </c>
      <c r="E135" s="202">
        <v>0</v>
      </c>
      <c r="F135" s="202">
        <v>0</v>
      </c>
      <c r="G135" s="555">
        <v>0</v>
      </c>
      <c r="H135" s="189">
        <f t="shared" si="45"/>
        <v>0</v>
      </c>
      <c r="I135" s="182" t="str">
        <f t="shared" si="46"/>
        <v>-</v>
      </c>
      <c r="J135" s="759"/>
      <c r="K135" s="183">
        <f t="shared" si="47"/>
        <v>0</v>
      </c>
      <c r="L135" s="184" t="str">
        <f t="shared" si="48"/>
        <v>-</v>
      </c>
      <c r="M135" s="759"/>
    </row>
    <row r="136" spans="1:13" s="235" customFormat="1" ht="19.5" customHeight="1" x14ac:dyDescent="0.2">
      <c r="A136" s="245">
        <v>2370</v>
      </c>
      <c r="B136" s="247" t="s">
        <v>76</v>
      </c>
      <c r="C136" s="201">
        <v>0</v>
      </c>
      <c r="D136" s="201">
        <v>0</v>
      </c>
      <c r="E136" s="201">
        <v>0</v>
      </c>
      <c r="F136" s="201">
        <v>0</v>
      </c>
      <c r="G136" s="556">
        <v>0</v>
      </c>
      <c r="H136" s="189">
        <f t="shared" si="45"/>
        <v>0</v>
      </c>
      <c r="I136" s="182" t="str">
        <f t="shared" si="46"/>
        <v>-</v>
      </c>
      <c r="J136" s="332"/>
      <c r="K136" s="185">
        <f t="shared" si="47"/>
        <v>0</v>
      </c>
      <c r="L136" s="182" t="str">
        <f t="shared" si="48"/>
        <v>-</v>
      </c>
      <c r="M136" s="332"/>
    </row>
    <row r="137" spans="1:13" s="235" customFormat="1" ht="42.75" customHeight="1" x14ac:dyDescent="0.2">
      <c r="A137" s="245">
        <v>2380</v>
      </c>
      <c r="B137" s="247" t="s">
        <v>77</v>
      </c>
      <c r="C137" s="201">
        <v>0</v>
      </c>
      <c r="D137" s="201">
        <v>0</v>
      </c>
      <c r="E137" s="201">
        <v>0</v>
      </c>
      <c r="F137" s="201">
        <v>0</v>
      </c>
      <c r="G137" s="556">
        <v>0</v>
      </c>
      <c r="H137" s="189">
        <f t="shared" si="45"/>
        <v>0</v>
      </c>
      <c r="I137" s="182" t="str">
        <f t="shared" si="46"/>
        <v>-</v>
      </c>
      <c r="J137" s="332"/>
      <c r="K137" s="185">
        <f t="shared" si="47"/>
        <v>0</v>
      </c>
      <c r="L137" s="182" t="str">
        <f t="shared" si="48"/>
        <v>-</v>
      </c>
      <c r="M137" s="332"/>
    </row>
    <row r="138" spans="1:13" x14ac:dyDescent="0.2">
      <c r="A138" s="233">
        <v>2390</v>
      </c>
      <c r="B138" s="247" t="s">
        <v>78</v>
      </c>
      <c r="C138" s="201">
        <v>0</v>
      </c>
      <c r="D138" s="201">
        <v>0</v>
      </c>
      <c r="E138" s="201">
        <v>0</v>
      </c>
      <c r="F138" s="201">
        <v>0</v>
      </c>
      <c r="G138" s="556">
        <v>0</v>
      </c>
      <c r="H138" s="189">
        <f t="shared" si="45"/>
        <v>0</v>
      </c>
      <c r="I138" s="182" t="str">
        <f t="shared" si="46"/>
        <v>-</v>
      </c>
      <c r="J138" s="333"/>
      <c r="K138" s="185">
        <f t="shared" si="47"/>
        <v>0</v>
      </c>
      <c r="L138" s="182" t="str">
        <f t="shared" si="48"/>
        <v>-</v>
      </c>
      <c r="M138" s="333"/>
    </row>
    <row r="139" spans="1:13" ht="37.5" customHeight="1" x14ac:dyDescent="0.2">
      <c r="A139" s="233">
        <v>2500</v>
      </c>
      <c r="B139" s="247" t="s">
        <v>436</v>
      </c>
      <c r="C139" s="191">
        <f t="shared" ref="C139:E139" si="49">SUM(C140+C148)</f>
        <v>1038762.5700000001</v>
      </c>
      <c r="D139" s="191">
        <v>1143102.4725776564</v>
      </c>
      <c r="E139" s="191">
        <f t="shared" si="49"/>
        <v>1038762.5700000001</v>
      </c>
      <c r="F139" s="191">
        <v>1143102.4725776564</v>
      </c>
      <c r="G139" s="553">
        <f t="shared" ref="G139" si="50">SUM(G140+G148)</f>
        <v>1513731.66</v>
      </c>
      <c r="H139" s="189">
        <f t="shared" si="45"/>
        <v>370629.18742234353</v>
      </c>
      <c r="I139" s="182">
        <f t="shared" si="46"/>
        <v>0.32423093844472889</v>
      </c>
      <c r="J139" s="331"/>
      <c r="K139" s="189">
        <f t="shared" si="47"/>
        <v>474969.08999999985</v>
      </c>
      <c r="L139" s="182">
        <f t="shared" si="48"/>
        <v>0.45724509499798383</v>
      </c>
      <c r="M139" s="331"/>
    </row>
    <row r="140" spans="1:13" ht="19.5" customHeight="1" x14ac:dyDescent="0.2">
      <c r="A140" s="233">
        <v>2510</v>
      </c>
      <c r="B140" s="247" t="s">
        <v>437</v>
      </c>
      <c r="C140" s="191">
        <f t="shared" ref="C140:E140" si="51">SUM(C141:C147)</f>
        <v>1038762.5700000001</v>
      </c>
      <c r="D140" s="191">
        <v>1143102.4725776564</v>
      </c>
      <c r="E140" s="191">
        <f t="shared" si="51"/>
        <v>1038762.5700000001</v>
      </c>
      <c r="F140" s="191">
        <v>1143102.4725776564</v>
      </c>
      <c r="G140" s="553">
        <f t="shared" ref="G140" si="52">SUM(G141:G147)</f>
        <v>1513731.66</v>
      </c>
      <c r="H140" s="189">
        <f t="shared" si="45"/>
        <v>370629.18742234353</v>
      </c>
      <c r="I140" s="182">
        <f t="shared" si="46"/>
        <v>0.32423093844472889</v>
      </c>
      <c r="J140" s="757" t="s">
        <v>814</v>
      </c>
      <c r="K140" s="189">
        <f t="shared" si="47"/>
        <v>474969.08999999985</v>
      </c>
      <c r="L140" s="182">
        <f t="shared" si="48"/>
        <v>0.45724509499798383</v>
      </c>
      <c r="M140" s="757" t="s">
        <v>841</v>
      </c>
    </row>
    <row r="141" spans="1:13" ht="55.5" customHeight="1" x14ac:dyDescent="0.2">
      <c r="A141" s="242">
        <v>2512</v>
      </c>
      <c r="B141" s="248" t="s">
        <v>79</v>
      </c>
      <c r="C141" s="202">
        <v>1013853.91</v>
      </c>
      <c r="D141" s="202">
        <v>1115775.1225776563</v>
      </c>
      <c r="E141" s="202">
        <v>1013853.91</v>
      </c>
      <c r="F141" s="202">
        <v>1115775.1225776563</v>
      </c>
      <c r="G141" s="555">
        <v>1493413.01</v>
      </c>
      <c r="H141" s="189">
        <f t="shared" si="45"/>
        <v>377637.88742234372</v>
      </c>
      <c r="I141" s="182">
        <f t="shared" si="46"/>
        <v>0.33845340318210998</v>
      </c>
      <c r="J141" s="758"/>
      <c r="K141" s="183">
        <f t="shared" si="47"/>
        <v>479559.1</v>
      </c>
      <c r="L141" s="184">
        <f t="shared" si="48"/>
        <v>0.47300611584167973</v>
      </c>
      <c r="M141" s="758"/>
    </row>
    <row r="142" spans="1:13" ht="55.5" customHeight="1" x14ac:dyDescent="0.2">
      <c r="A142" s="242">
        <v>2513</v>
      </c>
      <c r="B142" s="248" t="s">
        <v>438</v>
      </c>
      <c r="C142" s="202">
        <f>8961.89+2644.1</f>
        <v>11605.99</v>
      </c>
      <c r="D142" s="202">
        <v>11605.99</v>
      </c>
      <c r="E142" s="202">
        <f>8961.89+2644.1</f>
        <v>11605.99</v>
      </c>
      <c r="F142" s="202">
        <v>11605.99</v>
      </c>
      <c r="G142" s="555">
        <f>8961.89+2645.7</f>
        <v>11607.59</v>
      </c>
      <c r="H142" s="189">
        <f t="shared" si="45"/>
        <v>1.6000000000003638</v>
      </c>
      <c r="I142" s="182">
        <f t="shared" si="46"/>
        <v>1.3785984651032475E-4</v>
      </c>
      <c r="J142" s="758"/>
      <c r="K142" s="183">
        <f t="shared" si="47"/>
        <v>1.6000000000003638</v>
      </c>
      <c r="L142" s="184">
        <f t="shared" si="48"/>
        <v>1.3785984651032475E-4</v>
      </c>
      <c r="M142" s="758"/>
    </row>
    <row r="143" spans="1:13" ht="55.5" customHeight="1" x14ac:dyDescent="0.2">
      <c r="A143" s="242">
        <v>2514</v>
      </c>
      <c r="B143" s="248" t="s">
        <v>80</v>
      </c>
      <c r="C143" s="202">
        <v>0</v>
      </c>
      <c r="D143" s="202">
        <v>0</v>
      </c>
      <c r="E143" s="202">
        <v>0</v>
      </c>
      <c r="F143" s="202">
        <v>0</v>
      </c>
      <c r="G143" s="555"/>
      <c r="H143" s="189">
        <f t="shared" si="45"/>
        <v>0</v>
      </c>
      <c r="I143" s="182" t="str">
        <f t="shared" si="46"/>
        <v>-</v>
      </c>
      <c r="J143" s="758"/>
      <c r="K143" s="183">
        <f t="shared" si="47"/>
        <v>0</v>
      </c>
      <c r="L143" s="184" t="str">
        <f t="shared" si="48"/>
        <v>-</v>
      </c>
      <c r="M143" s="758"/>
    </row>
    <row r="144" spans="1:13" x14ac:dyDescent="0.2">
      <c r="A144" s="242">
        <v>2515</v>
      </c>
      <c r="B144" s="248" t="s">
        <v>81</v>
      </c>
      <c r="C144" s="202">
        <v>10564.87</v>
      </c>
      <c r="D144" s="202">
        <v>13065</v>
      </c>
      <c r="E144" s="202">
        <v>10564.87</v>
      </c>
      <c r="F144" s="202">
        <v>13065</v>
      </c>
      <c r="G144" s="555">
        <v>6158.66</v>
      </c>
      <c r="H144" s="189">
        <f t="shared" si="45"/>
        <v>-6906.34</v>
      </c>
      <c r="I144" s="182">
        <f t="shared" si="46"/>
        <v>-0.52861385380788362</v>
      </c>
      <c r="J144" s="758"/>
      <c r="K144" s="183">
        <f t="shared" si="47"/>
        <v>-4406.2100000000009</v>
      </c>
      <c r="L144" s="184">
        <f t="shared" si="48"/>
        <v>-0.41706239641377513</v>
      </c>
      <c r="M144" s="758"/>
    </row>
    <row r="145" spans="1:13" ht="47.25" x14ac:dyDescent="0.2">
      <c r="A145" s="242">
        <v>2516</v>
      </c>
      <c r="B145" s="248" t="s">
        <v>164</v>
      </c>
      <c r="C145" s="202">
        <v>0</v>
      </c>
      <c r="D145" s="202">
        <v>0</v>
      </c>
      <c r="E145" s="202">
        <v>0</v>
      </c>
      <c r="F145" s="202">
        <v>0</v>
      </c>
      <c r="G145" s="555"/>
      <c r="H145" s="189">
        <f t="shared" si="45"/>
        <v>0</v>
      </c>
      <c r="I145" s="182" t="str">
        <f t="shared" si="46"/>
        <v>-</v>
      </c>
      <c r="J145" s="758"/>
      <c r="K145" s="183">
        <f t="shared" si="47"/>
        <v>0</v>
      </c>
      <c r="L145" s="184" t="str">
        <f t="shared" si="48"/>
        <v>-</v>
      </c>
      <c r="M145" s="758"/>
    </row>
    <row r="146" spans="1:13" ht="18.75" customHeight="1" x14ac:dyDescent="0.2">
      <c r="A146" s="229">
        <v>2518</v>
      </c>
      <c r="B146" s="250" t="s">
        <v>82</v>
      </c>
      <c r="C146" s="211">
        <v>2737.8</v>
      </c>
      <c r="D146" s="211">
        <v>2656.3599999999997</v>
      </c>
      <c r="E146" s="211">
        <v>2737.8</v>
      </c>
      <c r="F146" s="211">
        <v>2656.3599999999997</v>
      </c>
      <c r="G146" s="554">
        <v>2552.4</v>
      </c>
      <c r="H146" s="189">
        <f t="shared" si="45"/>
        <v>-103.95999999999958</v>
      </c>
      <c r="I146" s="182">
        <f t="shared" si="46"/>
        <v>-3.9136261651282055E-2</v>
      </c>
      <c r="J146" s="758"/>
      <c r="K146" s="183">
        <f t="shared" si="47"/>
        <v>-185.40000000000009</v>
      </c>
      <c r="L146" s="184">
        <f t="shared" si="48"/>
        <v>-6.7718606180144664E-2</v>
      </c>
      <c r="M146" s="758"/>
    </row>
    <row r="147" spans="1:13" s="235" customFormat="1" ht="274.5" customHeight="1" x14ac:dyDescent="0.2">
      <c r="A147" s="242">
        <v>2519</v>
      </c>
      <c r="B147" s="248" t="s">
        <v>83</v>
      </c>
      <c r="C147" s="202">
        <v>0</v>
      </c>
      <c r="D147" s="202">
        <v>0</v>
      </c>
      <c r="E147" s="202">
        <v>0</v>
      </c>
      <c r="F147" s="202">
        <v>0</v>
      </c>
      <c r="G147" s="555"/>
      <c r="H147" s="189">
        <f t="shared" si="45"/>
        <v>0</v>
      </c>
      <c r="I147" s="182" t="str">
        <f t="shared" si="46"/>
        <v>-</v>
      </c>
      <c r="J147" s="759"/>
      <c r="K147" s="183">
        <f t="shared" si="47"/>
        <v>0</v>
      </c>
      <c r="L147" s="203" t="str">
        <f t="shared" si="48"/>
        <v>-</v>
      </c>
      <c r="M147" s="759"/>
    </row>
    <row r="148" spans="1:13" ht="56.25" customHeight="1" x14ac:dyDescent="0.2">
      <c r="A148" s="241">
        <v>2520</v>
      </c>
      <c r="B148" s="252" t="s">
        <v>439</v>
      </c>
      <c r="C148" s="212">
        <v>0</v>
      </c>
      <c r="D148" s="212">
        <v>0</v>
      </c>
      <c r="E148" s="212">
        <v>0</v>
      </c>
      <c r="F148" s="212">
        <v>0</v>
      </c>
      <c r="G148" s="557">
        <v>0</v>
      </c>
      <c r="H148" s="189">
        <f t="shared" si="45"/>
        <v>0</v>
      </c>
      <c r="I148" s="182" t="str">
        <f t="shared" si="46"/>
        <v>-</v>
      </c>
      <c r="J148" s="342"/>
      <c r="K148" s="186">
        <f t="shared" si="47"/>
        <v>0</v>
      </c>
      <c r="L148" s="187" t="str">
        <f t="shared" si="48"/>
        <v>-</v>
      </c>
      <c r="M148" s="332"/>
    </row>
    <row r="149" spans="1:13" ht="75" customHeight="1" x14ac:dyDescent="0.2">
      <c r="A149" s="241">
        <v>2800</v>
      </c>
      <c r="B149" s="253" t="s">
        <v>84</v>
      </c>
      <c r="C149" s="215">
        <v>0</v>
      </c>
      <c r="D149" s="215">
        <v>0</v>
      </c>
      <c r="E149" s="215">
        <v>0</v>
      </c>
      <c r="F149" s="215">
        <v>0</v>
      </c>
      <c r="G149" s="560">
        <v>0</v>
      </c>
      <c r="H149" s="189">
        <f t="shared" si="45"/>
        <v>0</v>
      </c>
      <c r="I149" s="182" t="str">
        <f t="shared" si="46"/>
        <v>-</v>
      </c>
      <c r="J149" s="342"/>
      <c r="K149" s="186">
        <f t="shared" si="47"/>
        <v>0</v>
      </c>
      <c r="L149" s="187" t="str">
        <f t="shared" si="48"/>
        <v>-</v>
      </c>
      <c r="M149" s="332"/>
    </row>
    <row r="150" spans="1:13" ht="19.5" customHeight="1" x14ac:dyDescent="0.2">
      <c r="A150" s="233">
        <v>4000</v>
      </c>
      <c r="B150" s="254" t="s">
        <v>85</v>
      </c>
      <c r="C150" s="191">
        <v>0</v>
      </c>
      <c r="D150" s="191">
        <v>0</v>
      </c>
      <c r="E150" s="191">
        <v>0</v>
      </c>
      <c r="F150" s="191">
        <v>0</v>
      </c>
      <c r="G150" s="553">
        <v>0</v>
      </c>
      <c r="H150" s="189">
        <f t="shared" si="45"/>
        <v>0</v>
      </c>
      <c r="I150" s="182" t="str">
        <f t="shared" si="46"/>
        <v>-</v>
      </c>
      <c r="J150" s="331"/>
      <c r="K150" s="189">
        <f t="shared" si="47"/>
        <v>0</v>
      </c>
      <c r="L150" s="182" t="str">
        <f t="shared" si="48"/>
        <v>-</v>
      </c>
      <c r="M150" s="331"/>
    </row>
    <row r="151" spans="1:13" ht="56.25" customHeight="1" x14ac:dyDescent="0.2">
      <c r="A151" s="255">
        <v>4100</v>
      </c>
      <c r="B151" s="247" t="s">
        <v>86</v>
      </c>
      <c r="C151" s="191">
        <v>0</v>
      </c>
      <c r="D151" s="191">
        <v>0</v>
      </c>
      <c r="E151" s="191">
        <v>0</v>
      </c>
      <c r="F151" s="191">
        <v>0</v>
      </c>
      <c r="G151" s="553">
        <v>0</v>
      </c>
      <c r="H151" s="189">
        <f t="shared" si="45"/>
        <v>0</v>
      </c>
      <c r="I151" s="182" t="str">
        <f t="shared" si="46"/>
        <v>-</v>
      </c>
      <c r="J151" s="762"/>
      <c r="K151" s="189">
        <f t="shared" si="47"/>
        <v>0</v>
      </c>
      <c r="L151" s="182" t="str">
        <f t="shared" si="48"/>
        <v>-</v>
      </c>
      <c r="M151" s="762"/>
    </row>
    <row r="152" spans="1:13" ht="56.25" customHeight="1" x14ac:dyDescent="0.2">
      <c r="A152" s="256">
        <v>4110</v>
      </c>
      <c r="B152" s="248" t="s">
        <v>351</v>
      </c>
      <c r="C152" s="202">
        <v>0</v>
      </c>
      <c r="D152" s="202">
        <v>0</v>
      </c>
      <c r="E152" s="202">
        <v>0</v>
      </c>
      <c r="F152" s="202">
        <v>0</v>
      </c>
      <c r="G152" s="555">
        <v>0</v>
      </c>
      <c r="H152" s="189">
        <f t="shared" si="45"/>
        <v>0</v>
      </c>
      <c r="I152" s="182" t="str">
        <f t="shared" si="46"/>
        <v>-</v>
      </c>
      <c r="J152" s="763"/>
      <c r="K152" s="183">
        <f t="shared" si="47"/>
        <v>0</v>
      </c>
      <c r="L152" s="184" t="str">
        <f t="shared" si="48"/>
        <v>-</v>
      </c>
      <c r="M152" s="763"/>
    </row>
    <row r="153" spans="1:13" ht="75" customHeight="1" x14ac:dyDescent="0.2">
      <c r="A153" s="256">
        <v>4130</v>
      </c>
      <c r="B153" s="248" t="s">
        <v>87</v>
      </c>
      <c r="C153" s="202">
        <v>0</v>
      </c>
      <c r="D153" s="202">
        <v>0</v>
      </c>
      <c r="E153" s="202">
        <v>0</v>
      </c>
      <c r="F153" s="202">
        <v>0</v>
      </c>
      <c r="G153" s="555">
        <v>0</v>
      </c>
      <c r="H153" s="189">
        <f t="shared" si="45"/>
        <v>0</v>
      </c>
      <c r="I153" s="182" t="str">
        <f t="shared" si="46"/>
        <v>-</v>
      </c>
      <c r="J153" s="764"/>
      <c r="K153" s="183">
        <f t="shared" si="47"/>
        <v>0</v>
      </c>
      <c r="L153" s="184" t="str">
        <f t="shared" si="48"/>
        <v>-</v>
      </c>
      <c r="M153" s="764"/>
    </row>
    <row r="154" spans="1:13" ht="19.5" customHeight="1" x14ac:dyDescent="0.2">
      <c r="A154" s="255">
        <v>4200</v>
      </c>
      <c r="B154" s="247" t="s">
        <v>88</v>
      </c>
      <c r="C154" s="191">
        <v>0</v>
      </c>
      <c r="D154" s="191">
        <v>0</v>
      </c>
      <c r="E154" s="191">
        <v>0</v>
      </c>
      <c r="F154" s="191">
        <v>0</v>
      </c>
      <c r="G154" s="553">
        <v>0</v>
      </c>
      <c r="H154" s="189">
        <f t="shared" si="45"/>
        <v>0</v>
      </c>
      <c r="I154" s="182" t="str">
        <f t="shared" si="46"/>
        <v>-</v>
      </c>
      <c r="J154" s="762"/>
      <c r="K154" s="189">
        <f t="shared" si="47"/>
        <v>0</v>
      </c>
      <c r="L154" s="182" t="str">
        <f t="shared" si="48"/>
        <v>-</v>
      </c>
      <c r="M154" s="762"/>
    </row>
    <row r="155" spans="1:13" s="257" customFormat="1" ht="56.25" customHeight="1" x14ac:dyDescent="0.2">
      <c r="A155" s="256">
        <v>4230</v>
      </c>
      <c r="B155" s="248" t="s">
        <v>89</v>
      </c>
      <c r="C155" s="202">
        <v>0</v>
      </c>
      <c r="D155" s="202">
        <v>0</v>
      </c>
      <c r="E155" s="202">
        <v>0</v>
      </c>
      <c r="F155" s="202">
        <v>0</v>
      </c>
      <c r="G155" s="555">
        <v>0</v>
      </c>
      <c r="H155" s="189">
        <f t="shared" si="45"/>
        <v>0</v>
      </c>
      <c r="I155" s="182" t="str">
        <f t="shared" si="46"/>
        <v>-</v>
      </c>
      <c r="J155" s="763"/>
      <c r="K155" s="183">
        <f t="shared" si="47"/>
        <v>0</v>
      </c>
      <c r="L155" s="184" t="str">
        <f t="shared" si="48"/>
        <v>-</v>
      </c>
      <c r="M155" s="763"/>
    </row>
    <row r="156" spans="1:13" ht="56.25" customHeight="1" x14ac:dyDescent="0.2">
      <c r="A156" s="256">
        <v>4240</v>
      </c>
      <c r="B156" s="258" t="s">
        <v>165</v>
      </c>
      <c r="C156" s="202">
        <v>0</v>
      </c>
      <c r="D156" s="202">
        <v>0</v>
      </c>
      <c r="E156" s="202">
        <v>0</v>
      </c>
      <c r="F156" s="202">
        <v>0</v>
      </c>
      <c r="G156" s="555">
        <v>0</v>
      </c>
      <c r="H156" s="189">
        <f t="shared" si="45"/>
        <v>0</v>
      </c>
      <c r="I156" s="182" t="str">
        <f t="shared" si="46"/>
        <v>-</v>
      </c>
      <c r="J156" s="763"/>
      <c r="K156" s="183">
        <f t="shared" si="47"/>
        <v>0</v>
      </c>
      <c r="L156" s="184" t="str">
        <f t="shared" si="48"/>
        <v>-</v>
      </c>
      <c r="M156" s="763"/>
    </row>
    <row r="157" spans="1:13" ht="19.5" customHeight="1" x14ac:dyDescent="0.2">
      <c r="A157" s="256">
        <v>4250</v>
      </c>
      <c r="B157" s="258" t="s">
        <v>166</v>
      </c>
      <c r="C157" s="202">
        <v>0</v>
      </c>
      <c r="D157" s="202">
        <v>0</v>
      </c>
      <c r="E157" s="202">
        <v>0</v>
      </c>
      <c r="F157" s="202">
        <v>0</v>
      </c>
      <c r="G157" s="555">
        <v>0</v>
      </c>
      <c r="H157" s="189">
        <f t="shared" si="45"/>
        <v>0</v>
      </c>
      <c r="I157" s="182" t="str">
        <f t="shared" si="46"/>
        <v>-</v>
      </c>
      <c r="J157" s="764"/>
      <c r="K157" s="183">
        <f t="shared" si="47"/>
        <v>0</v>
      </c>
      <c r="L157" s="184" t="str">
        <f t="shared" si="48"/>
        <v>-</v>
      </c>
      <c r="M157" s="764"/>
    </row>
    <row r="158" spans="1:13" ht="19.5" customHeight="1" x14ac:dyDescent="0.2">
      <c r="A158" s="233">
        <v>4300</v>
      </c>
      <c r="B158" s="247" t="s">
        <v>90</v>
      </c>
      <c r="C158" s="191">
        <v>0</v>
      </c>
      <c r="D158" s="191">
        <v>0</v>
      </c>
      <c r="E158" s="191">
        <v>0</v>
      </c>
      <c r="F158" s="191">
        <v>0</v>
      </c>
      <c r="G158" s="553">
        <v>0</v>
      </c>
      <c r="H158" s="189">
        <f t="shared" si="45"/>
        <v>0</v>
      </c>
      <c r="I158" s="182" t="str">
        <f t="shared" si="46"/>
        <v>-</v>
      </c>
      <c r="J158" s="762"/>
      <c r="K158" s="189">
        <f t="shared" si="47"/>
        <v>0</v>
      </c>
      <c r="L158" s="182" t="str">
        <f t="shared" si="48"/>
        <v>-</v>
      </c>
      <c r="M158" s="762"/>
    </row>
    <row r="159" spans="1:13" ht="19.5" customHeight="1" x14ac:dyDescent="0.2">
      <c r="A159" s="242">
        <v>4310</v>
      </c>
      <c r="B159" s="248" t="s">
        <v>91</v>
      </c>
      <c r="C159" s="202">
        <v>0</v>
      </c>
      <c r="D159" s="202">
        <v>0</v>
      </c>
      <c r="E159" s="202">
        <v>0</v>
      </c>
      <c r="F159" s="202">
        <v>0</v>
      </c>
      <c r="G159" s="555">
        <v>0</v>
      </c>
      <c r="H159" s="189">
        <f t="shared" si="45"/>
        <v>0</v>
      </c>
      <c r="I159" s="182" t="str">
        <f t="shared" si="46"/>
        <v>-</v>
      </c>
      <c r="J159" s="763"/>
      <c r="K159" s="183">
        <f t="shared" si="47"/>
        <v>0</v>
      </c>
      <c r="L159" s="184" t="str">
        <f t="shared" si="48"/>
        <v>-</v>
      </c>
      <c r="M159" s="763"/>
    </row>
    <row r="160" spans="1:13" ht="37.5" customHeight="1" x14ac:dyDescent="0.2">
      <c r="A160" s="242">
        <v>4330</v>
      </c>
      <c r="B160" s="248" t="s">
        <v>440</v>
      </c>
      <c r="C160" s="202">
        <v>0</v>
      </c>
      <c r="D160" s="202">
        <v>0</v>
      </c>
      <c r="E160" s="202">
        <v>0</v>
      </c>
      <c r="F160" s="202">
        <v>0</v>
      </c>
      <c r="G160" s="555">
        <v>0</v>
      </c>
      <c r="H160" s="189">
        <f t="shared" si="45"/>
        <v>0</v>
      </c>
      <c r="I160" s="182" t="str">
        <f t="shared" si="46"/>
        <v>-</v>
      </c>
      <c r="J160" s="763"/>
      <c r="K160" s="183">
        <f t="shared" si="47"/>
        <v>0</v>
      </c>
      <c r="L160" s="184" t="str">
        <f t="shared" si="48"/>
        <v>-</v>
      </c>
      <c r="M160" s="763"/>
    </row>
    <row r="161" spans="1:13" ht="56.25" customHeight="1" x14ac:dyDescent="0.2">
      <c r="A161" s="229">
        <v>4340</v>
      </c>
      <c r="B161" s="250" t="s">
        <v>167</v>
      </c>
      <c r="C161" s="211">
        <v>0</v>
      </c>
      <c r="D161" s="202">
        <v>0</v>
      </c>
      <c r="E161" s="211">
        <v>0</v>
      </c>
      <c r="F161" s="202">
        <v>0</v>
      </c>
      <c r="G161" s="554">
        <v>0</v>
      </c>
      <c r="H161" s="189">
        <f t="shared" si="45"/>
        <v>0</v>
      </c>
      <c r="I161" s="182" t="str">
        <f t="shared" si="46"/>
        <v>-</v>
      </c>
      <c r="J161" s="763"/>
      <c r="K161" s="183">
        <f t="shared" si="47"/>
        <v>0</v>
      </c>
      <c r="L161" s="184" t="str">
        <f t="shared" si="48"/>
        <v>-</v>
      </c>
      <c r="M161" s="763"/>
    </row>
    <row r="162" spans="1:13" ht="37.5" customHeight="1" x14ac:dyDescent="0.2">
      <c r="A162" s="229">
        <v>4390</v>
      </c>
      <c r="B162" s="250" t="s">
        <v>441</v>
      </c>
      <c r="C162" s="211">
        <v>0</v>
      </c>
      <c r="D162" s="202">
        <v>0</v>
      </c>
      <c r="E162" s="211">
        <v>0</v>
      </c>
      <c r="F162" s="202">
        <v>0</v>
      </c>
      <c r="G162" s="554">
        <v>0</v>
      </c>
      <c r="H162" s="189">
        <f t="shared" si="45"/>
        <v>0</v>
      </c>
      <c r="I162" s="182" t="str">
        <f t="shared" si="46"/>
        <v>-</v>
      </c>
      <c r="J162" s="764"/>
      <c r="K162" s="183">
        <f t="shared" si="47"/>
        <v>0</v>
      </c>
      <c r="L162" s="184" t="str">
        <f t="shared" si="48"/>
        <v>-</v>
      </c>
      <c r="M162" s="764"/>
    </row>
    <row r="163" spans="1:13" ht="19.5" customHeight="1" x14ac:dyDescent="0.2">
      <c r="A163" s="233" t="s">
        <v>92</v>
      </c>
      <c r="B163" s="259" t="s">
        <v>93</v>
      </c>
      <c r="C163" s="191">
        <f>C34</f>
        <v>21184438.690000001</v>
      </c>
      <c r="D163" s="191">
        <v>22740448.660044245</v>
      </c>
      <c r="E163" s="191">
        <f>E34</f>
        <v>21184438.690000001</v>
      </c>
      <c r="F163" s="191">
        <v>22740448.660044245</v>
      </c>
      <c r="G163" s="553">
        <f t="shared" ref="G163" si="53">G34</f>
        <v>24038354.210000001</v>
      </c>
      <c r="H163" s="189">
        <f t="shared" ref="H163:H193" si="54">G163-F163</f>
        <v>1297905.5499557555</v>
      </c>
      <c r="I163" s="182">
        <f t="shared" ref="I163:I193" si="55">IFERROR(H163/ABS(F163), "-")</f>
        <v>5.7074755619761379E-2</v>
      </c>
      <c r="J163" s="331"/>
      <c r="K163" s="189">
        <f t="shared" ref="K163:K193" si="56">G163-E163</f>
        <v>2853915.5199999996</v>
      </c>
      <c r="L163" s="182">
        <f t="shared" ref="L163:L193" si="57">IFERROR(K163/ABS(E163), "-")</f>
        <v>0.13471754252083037</v>
      </c>
      <c r="M163" s="331"/>
    </row>
    <row r="164" spans="1:13" ht="56.25" customHeight="1" x14ac:dyDescent="0.2">
      <c r="A164" s="233" t="s">
        <v>94</v>
      </c>
      <c r="B164" s="259" t="s">
        <v>348</v>
      </c>
      <c r="C164" s="191">
        <f>C3-C163</f>
        <v>1653190.570000004</v>
      </c>
      <c r="D164" s="191">
        <v>1153584.3720557559</v>
      </c>
      <c r="E164" s="191">
        <f>E3-E163</f>
        <v>1653190.570000004</v>
      </c>
      <c r="F164" s="191">
        <v>1153584.3720557559</v>
      </c>
      <c r="G164" s="553">
        <f t="shared" ref="G164" si="58">G3-G163</f>
        <v>964232.54999999702</v>
      </c>
      <c r="H164" s="189">
        <f t="shared" si="54"/>
        <v>-189351.82205575891</v>
      </c>
      <c r="I164" s="182">
        <f t="shared" si="55"/>
        <v>-0.16414215261803755</v>
      </c>
      <c r="J164" s="331"/>
      <c r="K164" s="189">
        <f t="shared" si="56"/>
        <v>-688958.020000007</v>
      </c>
      <c r="L164" s="182">
        <f t="shared" si="57"/>
        <v>-0.4167444652191582</v>
      </c>
      <c r="M164" s="331"/>
    </row>
    <row r="165" spans="1:13" ht="19.5" customHeight="1" x14ac:dyDescent="0.2">
      <c r="A165" s="260">
        <v>5000</v>
      </c>
      <c r="B165" s="261" t="s">
        <v>95</v>
      </c>
      <c r="C165" s="216">
        <f t="shared" ref="C165:E165" si="59">C166+C167</f>
        <v>801338.41</v>
      </c>
      <c r="D165" s="216">
        <v>872280</v>
      </c>
      <c r="E165" s="216">
        <f t="shared" si="59"/>
        <v>801338.41</v>
      </c>
      <c r="F165" s="216">
        <v>872280</v>
      </c>
      <c r="G165" s="563">
        <f t="shared" ref="G165" si="60">G166+G167</f>
        <v>903855.77</v>
      </c>
      <c r="H165" s="189">
        <f t="shared" si="54"/>
        <v>31575.770000000019</v>
      </c>
      <c r="I165" s="182">
        <f t="shared" si="55"/>
        <v>3.6199121841610511E-2</v>
      </c>
      <c r="J165" s="331"/>
      <c r="K165" s="189">
        <f t="shared" si="56"/>
        <v>102517.35999999999</v>
      </c>
      <c r="L165" s="182">
        <f t="shared" si="57"/>
        <v>0.12793266704886888</v>
      </c>
      <c r="M165" s="331"/>
    </row>
    <row r="166" spans="1:13" ht="169.5" customHeight="1" x14ac:dyDescent="0.2">
      <c r="A166" s="262">
        <v>5100</v>
      </c>
      <c r="B166" s="263" t="s">
        <v>442</v>
      </c>
      <c r="C166" s="202">
        <v>27455.64</v>
      </c>
      <c r="D166" s="202">
        <v>28452</v>
      </c>
      <c r="E166" s="202">
        <v>27455.64</v>
      </c>
      <c r="F166" s="202">
        <v>28452</v>
      </c>
      <c r="G166" s="555">
        <v>23256.13</v>
      </c>
      <c r="H166" s="189">
        <f t="shared" si="54"/>
        <v>-5195.869999999999</v>
      </c>
      <c r="I166" s="182">
        <f t="shared" si="55"/>
        <v>-0.18261879656966115</v>
      </c>
      <c r="J166" s="660" t="s">
        <v>815</v>
      </c>
      <c r="K166" s="183">
        <f t="shared" si="56"/>
        <v>-4199.5099999999984</v>
      </c>
      <c r="L166" s="184">
        <f t="shared" si="57"/>
        <v>-0.15295618677983827</v>
      </c>
      <c r="M166" s="663" t="s">
        <v>842</v>
      </c>
    </row>
    <row r="167" spans="1:13" ht="19.5" customHeight="1" x14ac:dyDescent="0.2">
      <c r="A167" s="264">
        <v>5200</v>
      </c>
      <c r="B167" s="254" t="s">
        <v>96</v>
      </c>
      <c r="C167" s="191">
        <v>773882.77</v>
      </c>
      <c r="D167" s="191">
        <v>843828</v>
      </c>
      <c r="E167" s="191">
        <v>773882.77</v>
      </c>
      <c r="F167" s="191">
        <v>843828</v>
      </c>
      <c r="G167" s="553">
        <v>880599.64</v>
      </c>
      <c r="H167" s="189">
        <f t="shared" si="54"/>
        <v>36771.640000000014</v>
      </c>
      <c r="I167" s="182">
        <f t="shared" si="55"/>
        <v>4.3577174495276302E-2</v>
      </c>
      <c r="J167" s="765"/>
      <c r="K167" s="189">
        <f t="shared" si="56"/>
        <v>106716.87</v>
      </c>
      <c r="L167" s="182">
        <f t="shared" si="57"/>
        <v>0.13789797904403531</v>
      </c>
      <c r="M167" s="757" t="s">
        <v>843</v>
      </c>
    </row>
    <row r="168" spans="1:13" ht="31.5" x14ac:dyDescent="0.2">
      <c r="A168" s="265">
        <v>5210</v>
      </c>
      <c r="B168" s="266" t="s">
        <v>97</v>
      </c>
      <c r="C168" s="202">
        <v>0</v>
      </c>
      <c r="D168" s="202">
        <v>0</v>
      </c>
      <c r="E168" s="202">
        <v>0</v>
      </c>
      <c r="F168" s="202">
        <v>0</v>
      </c>
      <c r="G168" s="555">
        <v>0</v>
      </c>
      <c r="H168" s="189">
        <f t="shared" si="54"/>
        <v>0</v>
      </c>
      <c r="I168" s="182" t="str">
        <f t="shared" si="55"/>
        <v>-</v>
      </c>
      <c r="J168" s="766"/>
      <c r="K168" s="183">
        <f t="shared" si="56"/>
        <v>0</v>
      </c>
      <c r="L168" s="184" t="str">
        <f t="shared" si="57"/>
        <v>-</v>
      </c>
      <c r="M168" s="760"/>
    </row>
    <row r="169" spans="1:13" ht="31.5" x14ac:dyDescent="0.2">
      <c r="A169" s="265">
        <v>5220</v>
      </c>
      <c r="B169" s="266" t="s">
        <v>98</v>
      </c>
      <c r="C169" s="202">
        <v>0</v>
      </c>
      <c r="D169" s="202">
        <v>0</v>
      </c>
      <c r="E169" s="202">
        <v>0</v>
      </c>
      <c r="F169" s="202">
        <v>0</v>
      </c>
      <c r="G169" s="555">
        <v>0</v>
      </c>
      <c r="H169" s="189">
        <f t="shared" si="54"/>
        <v>0</v>
      </c>
      <c r="I169" s="182" t="str">
        <f t="shared" si="55"/>
        <v>-</v>
      </c>
      <c r="J169" s="766"/>
      <c r="K169" s="183">
        <f t="shared" si="56"/>
        <v>0</v>
      </c>
      <c r="L169" s="184" t="str">
        <f t="shared" si="57"/>
        <v>-</v>
      </c>
      <c r="M169" s="760"/>
    </row>
    <row r="170" spans="1:13" ht="58.5" customHeight="1" x14ac:dyDescent="0.2">
      <c r="A170" s="265">
        <v>5230</v>
      </c>
      <c r="B170" s="266" t="s">
        <v>99</v>
      </c>
      <c r="C170" s="202">
        <v>0</v>
      </c>
      <c r="D170" s="202">
        <v>0</v>
      </c>
      <c r="E170" s="202">
        <v>0</v>
      </c>
      <c r="F170" s="202">
        <v>0</v>
      </c>
      <c r="G170" s="555">
        <v>0</v>
      </c>
      <c r="H170" s="189">
        <f t="shared" si="54"/>
        <v>0</v>
      </c>
      <c r="I170" s="182" t="str">
        <f t="shared" si="55"/>
        <v>-</v>
      </c>
      <c r="J170" s="766"/>
      <c r="K170" s="183">
        <f t="shared" si="56"/>
        <v>0</v>
      </c>
      <c r="L170" s="184" t="str">
        <f t="shared" si="57"/>
        <v>-</v>
      </c>
      <c r="M170" s="760"/>
    </row>
    <row r="171" spans="1:13" ht="94.5" customHeight="1" x14ac:dyDescent="0.2">
      <c r="A171" s="265">
        <v>5240</v>
      </c>
      <c r="B171" s="266" t="s">
        <v>353</v>
      </c>
      <c r="C171" s="202">
        <v>0</v>
      </c>
      <c r="D171" s="202">
        <v>0</v>
      </c>
      <c r="E171" s="202">
        <v>0</v>
      </c>
      <c r="F171" s="202">
        <v>0</v>
      </c>
      <c r="G171" s="555">
        <v>0</v>
      </c>
      <c r="H171" s="189">
        <f t="shared" si="54"/>
        <v>0</v>
      </c>
      <c r="I171" s="182" t="str">
        <f t="shared" si="55"/>
        <v>-</v>
      </c>
      <c r="J171" s="767"/>
      <c r="K171" s="183">
        <f t="shared" si="56"/>
        <v>0</v>
      </c>
      <c r="L171" s="184" t="str">
        <f t="shared" si="57"/>
        <v>-</v>
      </c>
      <c r="M171" s="761"/>
    </row>
    <row r="172" spans="1:13" ht="102.75" customHeight="1" x14ac:dyDescent="0.2">
      <c r="A172" s="233" t="s">
        <v>100</v>
      </c>
      <c r="B172" s="259" t="s">
        <v>349</v>
      </c>
      <c r="C172" s="191">
        <f t="shared" ref="C172:E172" si="61">C164-C165</f>
        <v>851852.16000000399</v>
      </c>
      <c r="D172" s="191">
        <v>281304.37205575593</v>
      </c>
      <c r="E172" s="191">
        <f t="shared" si="61"/>
        <v>851852.16000000399</v>
      </c>
      <c r="F172" s="191">
        <v>281304.37205575593</v>
      </c>
      <c r="G172" s="553">
        <f t="shared" ref="G172" si="62">G164-G165</f>
        <v>60376.779999997001</v>
      </c>
      <c r="H172" s="189">
        <f t="shared" si="54"/>
        <v>-220927.59205575893</v>
      </c>
      <c r="I172" s="182">
        <f t="shared" si="55"/>
        <v>-0.78536849762139482</v>
      </c>
      <c r="J172" s="331"/>
      <c r="K172" s="189">
        <f t="shared" si="56"/>
        <v>-791475.38000000699</v>
      </c>
      <c r="L172" s="182">
        <f t="shared" si="57"/>
        <v>-0.92912293607379393</v>
      </c>
      <c r="M172" s="331"/>
    </row>
    <row r="173" spans="1:13" ht="19.5" customHeight="1" x14ac:dyDescent="0.2">
      <c r="A173" s="69" t="s">
        <v>168</v>
      </c>
      <c r="B173" s="254" t="s">
        <v>101</v>
      </c>
      <c r="C173" s="191">
        <f t="shared" ref="C173:E173" si="63">SUM(C174:C181)</f>
        <v>63110.31</v>
      </c>
      <c r="D173" s="191">
        <v>63222.879999999997</v>
      </c>
      <c r="E173" s="191">
        <f t="shared" si="63"/>
        <v>63110.31</v>
      </c>
      <c r="F173" s="191">
        <v>63222.879999999997</v>
      </c>
      <c r="G173" s="553">
        <f>SUM(G174:G181)</f>
        <v>232883.82</v>
      </c>
      <c r="H173" s="189">
        <f t="shared" si="54"/>
        <v>169660.94</v>
      </c>
      <c r="I173" s="182">
        <f t="shared" si="55"/>
        <v>2.6835370359591337</v>
      </c>
      <c r="J173" s="757" t="s">
        <v>816</v>
      </c>
      <c r="K173" s="189">
        <f t="shared" si="56"/>
        <v>169773.51</v>
      </c>
      <c r="L173" s="182">
        <f t="shared" si="57"/>
        <v>2.6901073691445978</v>
      </c>
      <c r="M173" s="757" t="s">
        <v>844</v>
      </c>
    </row>
    <row r="174" spans="1:13" x14ac:dyDescent="0.2">
      <c r="A174" s="267" t="s">
        <v>169</v>
      </c>
      <c r="B174" s="266" t="s">
        <v>102</v>
      </c>
      <c r="C174" s="202"/>
      <c r="D174" s="202">
        <v>0.25</v>
      </c>
      <c r="E174" s="202"/>
      <c r="F174" s="202">
        <v>0.25</v>
      </c>
      <c r="G174" s="555">
        <v>0.03</v>
      </c>
      <c r="H174" s="189">
        <f t="shared" si="54"/>
        <v>-0.22</v>
      </c>
      <c r="I174" s="182">
        <f t="shared" si="55"/>
        <v>-0.88</v>
      </c>
      <c r="J174" s="758"/>
      <c r="K174" s="183">
        <f t="shared" si="56"/>
        <v>0.03</v>
      </c>
      <c r="L174" s="184" t="str">
        <f t="shared" si="57"/>
        <v>-</v>
      </c>
      <c r="M174" s="758"/>
    </row>
    <row r="175" spans="1:13" x14ac:dyDescent="0.2">
      <c r="A175" s="267" t="s">
        <v>170</v>
      </c>
      <c r="B175" s="266" t="s">
        <v>103</v>
      </c>
      <c r="C175" s="202">
        <v>56.51</v>
      </c>
      <c r="D175" s="202">
        <v>50.56</v>
      </c>
      <c r="E175" s="202">
        <v>56.51</v>
      </c>
      <c r="F175" s="202">
        <v>50.56</v>
      </c>
      <c r="G175" s="555">
        <f>0.04+62.68</f>
        <v>62.72</v>
      </c>
      <c r="H175" s="189">
        <f t="shared" si="54"/>
        <v>12.159999999999997</v>
      </c>
      <c r="I175" s="182">
        <f t="shared" si="55"/>
        <v>0.24050632911392397</v>
      </c>
      <c r="J175" s="758"/>
      <c r="K175" s="183">
        <f t="shared" si="56"/>
        <v>6.2100000000000009</v>
      </c>
      <c r="L175" s="184">
        <f t="shared" si="57"/>
        <v>0.1098920545036277</v>
      </c>
      <c r="M175" s="758"/>
    </row>
    <row r="176" spans="1:13" ht="31.5" x14ac:dyDescent="0.2">
      <c r="A176" s="267" t="s">
        <v>171</v>
      </c>
      <c r="B176" s="266" t="s">
        <v>350</v>
      </c>
      <c r="C176" s="202"/>
      <c r="D176" s="202">
        <v>0</v>
      </c>
      <c r="E176" s="202"/>
      <c r="F176" s="202">
        <v>0</v>
      </c>
      <c r="G176" s="555"/>
      <c r="H176" s="189">
        <f t="shared" si="54"/>
        <v>0</v>
      </c>
      <c r="I176" s="182" t="str">
        <f t="shared" si="55"/>
        <v>-</v>
      </c>
      <c r="J176" s="758"/>
      <c r="K176" s="183">
        <f t="shared" si="56"/>
        <v>0</v>
      </c>
      <c r="L176" s="184" t="str">
        <f t="shared" si="57"/>
        <v>-</v>
      </c>
      <c r="M176" s="758"/>
    </row>
    <row r="177" spans="1:13" x14ac:dyDescent="0.2">
      <c r="A177" s="267" t="s">
        <v>172</v>
      </c>
      <c r="B177" s="266" t="s">
        <v>104</v>
      </c>
      <c r="C177" s="202"/>
      <c r="D177" s="202">
        <v>0</v>
      </c>
      <c r="E177" s="202"/>
      <c r="F177" s="202">
        <v>0</v>
      </c>
      <c r="G177" s="555"/>
      <c r="H177" s="189">
        <f t="shared" si="54"/>
        <v>0</v>
      </c>
      <c r="I177" s="182" t="str">
        <f t="shared" si="55"/>
        <v>-</v>
      </c>
      <c r="J177" s="758"/>
      <c r="K177" s="183">
        <f t="shared" si="56"/>
        <v>0</v>
      </c>
      <c r="L177" s="184" t="str">
        <f t="shared" si="57"/>
        <v>-</v>
      </c>
      <c r="M177" s="758"/>
    </row>
    <row r="178" spans="1:13" x14ac:dyDescent="0.2">
      <c r="A178" s="267" t="s">
        <v>173</v>
      </c>
      <c r="B178" s="266" t="s">
        <v>105</v>
      </c>
      <c r="C178" s="202"/>
      <c r="D178" s="202">
        <v>0</v>
      </c>
      <c r="E178" s="202"/>
      <c r="F178" s="202">
        <v>0</v>
      </c>
      <c r="G178" s="555"/>
      <c r="H178" s="189">
        <f t="shared" si="54"/>
        <v>0</v>
      </c>
      <c r="I178" s="182" t="str">
        <f t="shared" si="55"/>
        <v>-</v>
      </c>
      <c r="J178" s="758"/>
      <c r="K178" s="183">
        <f t="shared" si="56"/>
        <v>0</v>
      </c>
      <c r="L178" s="184" t="str">
        <f t="shared" si="57"/>
        <v>-</v>
      </c>
      <c r="M178" s="758"/>
    </row>
    <row r="179" spans="1:13" ht="68.25" customHeight="1" x14ac:dyDescent="0.2">
      <c r="A179" s="267" t="s">
        <v>174</v>
      </c>
      <c r="B179" s="266" t="s">
        <v>106</v>
      </c>
      <c r="C179" s="202"/>
      <c r="D179" s="202">
        <v>58840</v>
      </c>
      <c r="E179" s="202"/>
      <c r="F179" s="202">
        <v>58840</v>
      </c>
      <c r="G179" s="555">
        <v>58839.95</v>
      </c>
      <c r="H179" s="189">
        <f t="shared" si="54"/>
        <v>-5.0000000002910383E-2</v>
      </c>
      <c r="I179" s="182">
        <f t="shared" si="55"/>
        <v>-8.4976206667080873E-7</v>
      </c>
      <c r="J179" s="758"/>
      <c r="K179" s="183">
        <f t="shared" si="56"/>
        <v>58839.95</v>
      </c>
      <c r="L179" s="184" t="str">
        <f t="shared" si="57"/>
        <v>-</v>
      </c>
      <c r="M179" s="758"/>
    </row>
    <row r="180" spans="1:13" ht="45" customHeight="1" x14ac:dyDescent="0.2">
      <c r="A180" s="267" t="s">
        <v>175</v>
      </c>
      <c r="B180" s="266" t="s">
        <v>148</v>
      </c>
      <c r="C180" s="202"/>
      <c r="D180" s="202">
        <v>0</v>
      </c>
      <c r="E180" s="202"/>
      <c r="F180" s="202">
        <v>0</v>
      </c>
      <c r="G180" s="555"/>
      <c r="H180" s="189">
        <f t="shared" si="54"/>
        <v>0</v>
      </c>
      <c r="I180" s="182" t="str">
        <f t="shared" si="55"/>
        <v>-</v>
      </c>
      <c r="J180" s="759"/>
      <c r="K180" s="183">
        <f t="shared" si="56"/>
        <v>0</v>
      </c>
      <c r="L180" s="184" t="str">
        <f t="shared" si="57"/>
        <v>-</v>
      </c>
      <c r="M180" s="759"/>
    </row>
    <row r="181" spans="1:13" ht="241.5" customHeight="1" x14ac:dyDescent="0.2">
      <c r="A181" s="267" t="s">
        <v>176</v>
      </c>
      <c r="B181" s="266" t="s">
        <v>107</v>
      </c>
      <c r="C181" s="202">
        <f>58839.95+0.53+1000+375.13+2838.19</f>
        <v>63053.799999999996</v>
      </c>
      <c r="D181" s="202">
        <v>4332.07</v>
      </c>
      <c r="E181" s="202">
        <f>58839.95+0.53+1000+375.13+2838.19</f>
        <v>63053.799999999996</v>
      </c>
      <c r="F181" s="202">
        <v>4332.07</v>
      </c>
      <c r="G181" s="555">
        <f>169259.81+10.35+4219.96+490+1</f>
        <v>173981.12</v>
      </c>
      <c r="H181" s="189">
        <f t="shared" si="54"/>
        <v>169649.05</v>
      </c>
      <c r="I181" s="182">
        <f t="shared" si="55"/>
        <v>39.161197764579057</v>
      </c>
      <c r="J181" s="654" t="s">
        <v>775</v>
      </c>
      <c r="K181" s="183">
        <f t="shared" si="56"/>
        <v>110927.32</v>
      </c>
      <c r="L181" s="184">
        <f t="shared" si="57"/>
        <v>1.7592487685119693</v>
      </c>
      <c r="M181" s="654" t="s">
        <v>845</v>
      </c>
    </row>
    <row r="182" spans="1:13" ht="37.5" customHeight="1" x14ac:dyDescent="0.2">
      <c r="A182" s="233" t="s">
        <v>108</v>
      </c>
      <c r="B182" s="259" t="s">
        <v>109</v>
      </c>
      <c r="C182" s="191">
        <f>C3+C173</f>
        <v>22900739.570000004</v>
      </c>
      <c r="D182" s="191">
        <v>23957255.912100002</v>
      </c>
      <c r="E182" s="191">
        <f>E3+E173</f>
        <v>22900739.570000004</v>
      </c>
      <c r="F182" s="191">
        <v>23957255.912100002</v>
      </c>
      <c r="G182" s="553">
        <f>G3+G173</f>
        <v>25235470.579999998</v>
      </c>
      <c r="H182" s="189">
        <f t="shared" si="54"/>
        <v>1278214.667899996</v>
      </c>
      <c r="I182" s="182">
        <f t="shared" si="55"/>
        <v>5.3353968108443207E-2</v>
      </c>
      <c r="J182" s="331"/>
      <c r="K182" s="189">
        <f t="shared" si="56"/>
        <v>2334731.0099999942</v>
      </c>
      <c r="L182" s="182">
        <f t="shared" si="57"/>
        <v>0.1019500266733086</v>
      </c>
      <c r="M182" s="331"/>
    </row>
    <row r="183" spans="1:13" ht="224.25" customHeight="1" x14ac:dyDescent="0.2">
      <c r="A183" s="244">
        <v>8000</v>
      </c>
      <c r="B183" s="254" t="s">
        <v>110</v>
      </c>
      <c r="C183" s="191">
        <f>SUM(C184:C190)</f>
        <v>1136877.1299999999</v>
      </c>
      <c r="D183" s="191">
        <v>242438.12220000001</v>
      </c>
      <c r="E183" s="191">
        <f>SUM(E184:E190)</f>
        <v>1136877.1299999999</v>
      </c>
      <c r="F183" s="191">
        <v>242438.12220000001</v>
      </c>
      <c r="G183" s="553">
        <f>SUM(G184:G190)</f>
        <v>101502.16</v>
      </c>
      <c r="H183" s="189">
        <f t="shared" si="54"/>
        <v>-140935.96220000001</v>
      </c>
      <c r="I183" s="182">
        <f t="shared" si="55"/>
        <v>-0.58132756070323999</v>
      </c>
      <c r="J183" s="778" t="s">
        <v>817</v>
      </c>
      <c r="K183" s="189">
        <f t="shared" si="56"/>
        <v>-1035374.9699999999</v>
      </c>
      <c r="L183" s="182">
        <f t="shared" si="57"/>
        <v>-0.91071844324988749</v>
      </c>
      <c r="M183" s="778" t="s">
        <v>846</v>
      </c>
    </row>
    <row r="184" spans="1:13" x14ac:dyDescent="0.2">
      <c r="A184" s="242">
        <v>8100</v>
      </c>
      <c r="B184" s="266" t="s">
        <v>177</v>
      </c>
      <c r="C184" s="202"/>
      <c r="D184" s="202">
        <v>0</v>
      </c>
      <c r="E184" s="202"/>
      <c r="F184" s="202">
        <v>0</v>
      </c>
      <c r="G184" s="555"/>
      <c r="H184" s="189">
        <f t="shared" si="54"/>
        <v>0</v>
      </c>
      <c r="I184" s="182" t="str">
        <f t="shared" si="55"/>
        <v>-</v>
      </c>
      <c r="J184" s="779"/>
      <c r="K184" s="183">
        <f t="shared" si="56"/>
        <v>0</v>
      </c>
      <c r="L184" s="184" t="str">
        <f t="shared" si="57"/>
        <v>-</v>
      </c>
      <c r="M184" s="779"/>
    </row>
    <row r="185" spans="1:13" ht="18.75" customHeight="1" x14ac:dyDescent="0.2">
      <c r="A185" s="242">
        <v>8200</v>
      </c>
      <c r="B185" s="266" t="s">
        <v>113</v>
      </c>
      <c r="C185" s="202"/>
      <c r="D185" s="202">
        <v>0</v>
      </c>
      <c r="E185" s="202"/>
      <c r="F185" s="202">
        <v>0</v>
      </c>
      <c r="G185" s="555"/>
      <c r="H185" s="189">
        <f t="shared" si="54"/>
        <v>0</v>
      </c>
      <c r="I185" s="182" t="str">
        <f t="shared" si="55"/>
        <v>-</v>
      </c>
      <c r="J185" s="779"/>
      <c r="K185" s="183">
        <f t="shared" si="56"/>
        <v>0</v>
      </c>
      <c r="L185" s="184" t="str">
        <f t="shared" si="57"/>
        <v>-</v>
      </c>
      <c r="M185" s="779"/>
    </row>
    <row r="186" spans="1:13" x14ac:dyDescent="0.2">
      <c r="A186" s="242">
        <v>8300</v>
      </c>
      <c r="B186" s="266" t="s">
        <v>112</v>
      </c>
      <c r="C186" s="202">
        <v>18911.52</v>
      </c>
      <c r="D186" s="202">
        <v>19934.519999999997</v>
      </c>
      <c r="E186" s="202">
        <v>18911.52</v>
      </c>
      <c r="F186" s="202">
        <v>19934.519999999997</v>
      </c>
      <c r="G186" s="555">
        <f>2941.36+5994.09</f>
        <v>8935.4500000000007</v>
      </c>
      <c r="H186" s="189">
        <f t="shared" si="54"/>
        <v>-10999.069999999996</v>
      </c>
      <c r="I186" s="182">
        <f>IFERROR(H186/ABS(F186), "-")</f>
        <v>-0.55175996211596756</v>
      </c>
      <c r="J186" s="779"/>
      <c r="K186" s="183">
        <f t="shared" si="56"/>
        <v>-9976.07</v>
      </c>
      <c r="L186" s="184">
        <f t="shared" si="57"/>
        <v>-0.52751285988646068</v>
      </c>
      <c r="M186" s="779"/>
    </row>
    <row r="187" spans="1:13" ht="31.5" x14ac:dyDescent="0.2">
      <c r="A187" s="242">
        <v>8600</v>
      </c>
      <c r="B187" s="266" t="s">
        <v>178</v>
      </c>
      <c r="C187" s="202">
        <v>31452.79</v>
      </c>
      <c r="D187" s="202">
        <v>61453</v>
      </c>
      <c r="E187" s="202">
        <v>31452.79</v>
      </c>
      <c r="F187" s="202">
        <v>61453</v>
      </c>
      <c r="G187" s="555">
        <f>22371.63</f>
        <v>22371.63</v>
      </c>
      <c r="H187" s="189">
        <f t="shared" si="54"/>
        <v>-39081.369999999995</v>
      </c>
      <c r="I187" s="182">
        <f t="shared" si="55"/>
        <v>-0.63595544562511175</v>
      </c>
      <c r="J187" s="779"/>
      <c r="K187" s="183">
        <f t="shared" si="56"/>
        <v>-9081.16</v>
      </c>
      <c r="L187" s="184">
        <f t="shared" si="57"/>
        <v>-0.28872351228619147</v>
      </c>
      <c r="M187" s="779"/>
    </row>
    <row r="188" spans="1:13" ht="31.5" x14ac:dyDescent="0.2">
      <c r="A188" s="242">
        <v>8700</v>
      </c>
      <c r="B188" s="266" t="s">
        <v>352</v>
      </c>
      <c r="C188" s="202">
        <v>150991.39000000001</v>
      </c>
      <c r="D188" s="202">
        <v>150992</v>
      </c>
      <c r="E188" s="202">
        <v>150991.39000000001</v>
      </c>
      <c r="F188" s="202">
        <v>150992</v>
      </c>
      <c r="G188" s="555">
        <v>59664.56</v>
      </c>
      <c r="H188" s="189">
        <f t="shared" si="54"/>
        <v>-91327.44</v>
      </c>
      <c r="I188" s="182">
        <f t="shared" si="55"/>
        <v>-0.60484952845183848</v>
      </c>
      <c r="J188" s="779"/>
      <c r="K188" s="186">
        <f t="shared" si="56"/>
        <v>-91326.830000000016</v>
      </c>
      <c r="L188" s="184">
        <f t="shared" si="57"/>
        <v>-0.60484793205758292</v>
      </c>
      <c r="M188" s="779"/>
    </row>
    <row r="189" spans="1:13" ht="18.75" customHeight="1" x14ac:dyDescent="0.2">
      <c r="A189" s="242">
        <v>8800</v>
      </c>
      <c r="B189" s="243" t="s">
        <v>111</v>
      </c>
      <c r="C189" s="211">
        <f>3043.63+6730.59+9437.21-1</f>
        <v>19210.43</v>
      </c>
      <c r="D189" s="211">
        <v>10058.602199999999</v>
      </c>
      <c r="E189" s="211">
        <f>3043.63+6730.59+9437.21-1</f>
        <v>19210.43</v>
      </c>
      <c r="F189" s="211">
        <v>10058.602199999999</v>
      </c>
      <c r="G189" s="554">
        <f>5131.6+5398.92</f>
        <v>10530.52</v>
      </c>
      <c r="H189" s="189">
        <f t="shared" si="54"/>
        <v>471.91780000000108</v>
      </c>
      <c r="I189" s="182">
        <f t="shared" si="55"/>
        <v>4.691683701339746E-2</v>
      </c>
      <c r="J189" s="779"/>
      <c r="K189" s="183">
        <f t="shared" si="56"/>
        <v>-8679.91</v>
      </c>
      <c r="L189" s="184">
        <f t="shared" si="57"/>
        <v>-0.45183319686232948</v>
      </c>
      <c r="M189" s="779"/>
    </row>
    <row r="190" spans="1:13" ht="63" x14ac:dyDescent="0.2">
      <c r="A190" s="229">
        <v>8900</v>
      </c>
      <c r="B190" s="243" t="s">
        <v>179</v>
      </c>
      <c r="C190" s="211">
        <v>916311</v>
      </c>
      <c r="D190" s="211">
        <v>0</v>
      </c>
      <c r="E190" s="211">
        <v>916311</v>
      </c>
      <c r="F190" s="211">
        <v>0</v>
      </c>
      <c r="G190" s="554"/>
      <c r="H190" s="189">
        <f t="shared" si="54"/>
        <v>0</v>
      </c>
      <c r="I190" s="182" t="str">
        <f t="shared" si="55"/>
        <v>-</v>
      </c>
      <c r="J190" s="780"/>
      <c r="K190" s="183">
        <f t="shared" si="56"/>
        <v>-916311</v>
      </c>
      <c r="L190" s="184">
        <f t="shared" si="57"/>
        <v>-1</v>
      </c>
      <c r="M190" s="780"/>
    </row>
    <row r="191" spans="1:13" x14ac:dyDescent="0.2">
      <c r="A191" s="233" t="s">
        <v>114</v>
      </c>
      <c r="B191" s="259" t="s">
        <v>115</v>
      </c>
      <c r="C191" s="191">
        <f>C163+C165+C183</f>
        <v>23122654.23</v>
      </c>
      <c r="D191" s="191">
        <v>23855166.782244243</v>
      </c>
      <c r="E191" s="191">
        <f>E163+E165+E183</f>
        <v>23122654.23</v>
      </c>
      <c r="F191" s="191">
        <v>23855166.782244243</v>
      </c>
      <c r="G191" s="553">
        <f t="shared" ref="G191" si="64">G163+G165+G183</f>
        <v>25043712.140000001</v>
      </c>
      <c r="H191" s="189">
        <f t="shared" si="54"/>
        <v>1188545.3577557579</v>
      </c>
      <c r="I191" s="182">
        <f t="shared" si="55"/>
        <v>4.9823393338855632E-2</v>
      </c>
      <c r="J191" s="331"/>
      <c r="K191" s="189">
        <f t="shared" si="56"/>
        <v>1921057.9100000001</v>
      </c>
      <c r="L191" s="182">
        <f t="shared" si="57"/>
        <v>8.308120213585013E-2</v>
      </c>
      <c r="M191" s="331"/>
    </row>
    <row r="192" spans="1:13" x14ac:dyDescent="0.2">
      <c r="A192" s="268" t="s">
        <v>180</v>
      </c>
      <c r="B192" s="328" t="s">
        <v>116</v>
      </c>
      <c r="C192" s="215">
        <v>0</v>
      </c>
      <c r="D192" s="202">
        <v>0</v>
      </c>
      <c r="E192" s="215">
        <v>0</v>
      </c>
      <c r="F192" s="202">
        <v>0</v>
      </c>
      <c r="G192" s="560">
        <v>0</v>
      </c>
      <c r="H192" s="189">
        <f t="shared" si="54"/>
        <v>0</v>
      </c>
      <c r="I192" s="182" t="str">
        <f t="shared" si="55"/>
        <v>-</v>
      </c>
      <c r="J192" s="343"/>
      <c r="K192" s="183">
        <f t="shared" si="56"/>
        <v>0</v>
      </c>
      <c r="L192" s="184" t="str">
        <f t="shared" si="57"/>
        <v>-</v>
      </c>
      <c r="M192" s="343"/>
    </row>
    <row r="193" spans="1:13" x14ac:dyDescent="0.2">
      <c r="A193" s="233" t="s">
        <v>181</v>
      </c>
      <c r="B193" s="259" t="s">
        <v>117</v>
      </c>
      <c r="C193" s="191">
        <f>C172+C173-C183-C192</f>
        <v>-221914.65999999596</v>
      </c>
      <c r="D193" s="191">
        <v>102089.12985575589</v>
      </c>
      <c r="E193" s="191">
        <f>E172+E173-E183-E192</f>
        <v>-221914.65999999596</v>
      </c>
      <c r="F193" s="191">
        <v>102089.12985575589</v>
      </c>
      <c r="G193" s="553">
        <f>G172+G173-G183-G192</f>
        <v>191758.439999997</v>
      </c>
      <c r="H193" s="189">
        <f t="shared" si="54"/>
        <v>89669.310144241113</v>
      </c>
      <c r="I193" s="182">
        <f t="shared" si="55"/>
        <v>0.87834336790740575</v>
      </c>
      <c r="J193" s="331"/>
      <c r="K193" s="189">
        <f t="shared" si="56"/>
        <v>413673.09999999299</v>
      </c>
      <c r="L193" s="182">
        <f t="shared" si="57"/>
        <v>1.864108932686108</v>
      </c>
      <c r="M193" s="331"/>
    </row>
    <row r="195" spans="1:13" x14ac:dyDescent="0.2">
      <c r="A195" s="217" t="s">
        <v>544</v>
      </c>
    </row>
    <row r="196" spans="1:13" x14ac:dyDescent="0.2">
      <c r="A196" s="768" t="s">
        <v>660</v>
      </c>
      <c r="B196" s="768"/>
      <c r="C196" s="768"/>
      <c r="D196" s="768"/>
      <c r="E196" s="768"/>
      <c r="F196" s="768"/>
      <c r="G196" s="768"/>
      <c r="H196" s="768"/>
      <c r="I196" s="768"/>
      <c r="J196" s="768"/>
      <c r="K196" s="316"/>
      <c r="L196" s="217"/>
      <c r="M196" s="217"/>
    </row>
    <row r="197" spans="1:13" ht="18.75" x14ac:dyDescent="0.2">
      <c r="A197" s="217" t="s">
        <v>661</v>
      </c>
    </row>
    <row r="198" spans="1:13" x14ac:dyDescent="0.2">
      <c r="A198" s="217" t="s">
        <v>603</v>
      </c>
    </row>
    <row r="205" spans="1:13" x14ac:dyDescent="0.2">
      <c r="H205" s="320"/>
      <c r="J205" s="320"/>
    </row>
  </sheetData>
  <sheetProtection formatColumns="0" formatRows="0"/>
  <mergeCells count="52">
    <mergeCell ref="J183:J190"/>
    <mergeCell ref="M16:M20"/>
    <mergeCell ref="M13:M15"/>
    <mergeCell ref="M10:M12"/>
    <mergeCell ref="M129:M135"/>
    <mergeCell ref="M121:M123"/>
    <mergeCell ref="M109:M112"/>
    <mergeCell ref="M104:M108"/>
    <mergeCell ref="M97:M101"/>
    <mergeCell ref="M91:M96"/>
    <mergeCell ref="M83:M89"/>
    <mergeCell ref="M69:M74"/>
    <mergeCell ref="M64:M66"/>
    <mergeCell ref="M61:M63"/>
    <mergeCell ref="J151:J153"/>
    <mergeCell ref="M183:M190"/>
    <mergeCell ref="M53:M58"/>
    <mergeCell ref="M40:M48"/>
    <mergeCell ref="M25:M28"/>
    <mergeCell ref="M22:M24"/>
    <mergeCell ref="M37:M39"/>
    <mergeCell ref="A196:J196"/>
    <mergeCell ref="J10:J12"/>
    <mergeCell ref="J13:J15"/>
    <mergeCell ref="J16:J20"/>
    <mergeCell ref="J22:J24"/>
    <mergeCell ref="J25:J28"/>
    <mergeCell ref="J40:J48"/>
    <mergeCell ref="J53:J58"/>
    <mergeCell ref="J61:J63"/>
    <mergeCell ref="J64:J66"/>
    <mergeCell ref="J69:J74"/>
    <mergeCell ref="J83:J89"/>
    <mergeCell ref="J91:J96"/>
    <mergeCell ref="J104:J108"/>
    <mergeCell ref="J109:J112"/>
    <mergeCell ref="J97:J101"/>
    <mergeCell ref="J121:J123"/>
    <mergeCell ref="J129:J135"/>
    <mergeCell ref="M173:M180"/>
    <mergeCell ref="M167:M171"/>
    <mergeCell ref="M158:M162"/>
    <mergeCell ref="M154:M157"/>
    <mergeCell ref="J154:J157"/>
    <mergeCell ref="J158:J162"/>
    <mergeCell ref="J167:J171"/>
    <mergeCell ref="J173:J180"/>
    <mergeCell ref="J125:J126"/>
    <mergeCell ref="M125:M126"/>
    <mergeCell ref="M151:M153"/>
    <mergeCell ref="M140:M147"/>
    <mergeCell ref="J140:J147"/>
  </mergeCells>
  <pageMargins left="0.70866141732283472" right="0.70866141732283472" top="0.59055118110236227" bottom="0.74803149606299213" header="0.31496062992125984" footer="0.31496062992125984"/>
  <pageSetup paperSize="9" scale="30" fitToHeight="0" orientation="portrait" r:id="rId1"/>
  <headerFooter>
    <oddHeader xml:space="preserve">&amp;C&amp;"Times New Roman,Bold"&amp;14
Budžeta&amp;"Times New Roman,Regular" &amp;"Times New Roman,Bold"tāme&amp;R&amp;"Times New Roman,Regular"&amp;14 1.pielikums
</oddHeader>
    <oddFooter>&amp;C&amp;"Times New Roman,Regular"&amp;12&amp;F&amp;R&amp;"Times New Roman,Regular"&amp;12&amp;P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2">
    <tabColor rgb="FF92D050"/>
    <pageSetUpPr fitToPage="1"/>
  </sheetPr>
  <dimension ref="A1:M34"/>
  <sheetViews>
    <sheetView topLeftCell="B13" zoomScale="85" zoomScaleNormal="85" zoomScalePageLayoutView="70" workbookViewId="0">
      <selection activeCell="D34" sqref="D34"/>
    </sheetView>
  </sheetViews>
  <sheetFormatPr defaultRowHeight="18" x14ac:dyDescent="0.2"/>
  <cols>
    <col min="1" max="1" width="9.28515625" style="5" hidden="1" customWidth="1"/>
    <col min="2" max="2" width="28.140625" style="5" customWidth="1"/>
    <col min="3" max="6" width="16.5703125" style="5" customWidth="1"/>
    <col min="7" max="7" width="21" style="5" customWidth="1"/>
    <col min="8" max="9" width="16.5703125" style="5" customWidth="1"/>
    <col min="10" max="10" width="70.5703125" style="5" customWidth="1"/>
    <col min="11" max="12" width="16.5703125" style="5" customWidth="1"/>
    <col min="13" max="13" width="49" style="5" customWidth="1"/>
    <col min="14" max="16384" width="9.140625" style="5"/>
  </cols>
  <sheetData>
    <row r="1" spans="1:13" ht="131.25" x14ac:dyDescent="0.2">
      <c r="A1" s="536" t="s">
        <v>464</v>
      </c>
      <c r="B1" s="101" t="s">
        <v>443</v>
      </c>
      <c r="C1" s="1" t="s">
        <v>693</v>
      </c>
      <c r="D1" s="1" t="s">
        <v>682</v>
      </c>
      <c r="E1" s="669" t="s">
        <v>776</v>
      </c>
      <c r="F1" s="669" t="s">
        <v>777</v>
      </c>
      <c r="G1" s="669" t="s">
        <v>779</v>
      </c>
      <c r="H1" s="7" t="s">
        <v>689</v>
      </c>
      <c r="I1" s="7" t="s">
        <v>684</v>
      </c>
      <c r="J1" s="46" t="s">
        <v>679</v>
      </c>
      <c r="K1" s="7" t="s">
        <v>690</v>
      </c>
      <c r="L1" s="7" t="s">
        <v>686</v>
      </c>
      <c r="M1" s="46" t="s">
        <v>679</v>
      </c>
    </row>
    <row r="2" spans="1:13" ht="18.75" x14ac:dyDescent="0.2">
      <c r="A2" s="101">
        <v>1</v>
      </c>
      <c r="B2" s="101">
        <v>2</v>
      </c>
      <c r="C2" s="1">
        <v>3</v>
      </c>
      <c r="D2" s="1">
        <v>4</v>
      </c>
      <c r="E2" s="669">
        <v>5</v>
      </c>
      <c r="F2" s="669">
        <v>6</v>
      </c>
      <c r="G2" s="669">
        <v>7</v>
      </c>
      <c r="H2" s="7">
        <v>8</v>
      </c>
      <c r="I2" s="7">
        <v>9</v>
      </c>
      <c r="J2" s="46">
        <v>10</v>
      </c>
      <c r="K2" s="7">
        <v>11</v>
      </c>
      <c r="L2" s="7">
        <v>12</v>
      </c>
      <c r="M2" s="46">
        <v>13</v>
      </c>
    </row>
    <row r="3" spans="1:13" ht="187.5" x14ac:dyDescent="0.2">
      <c r="A3" s="101">
        <v>1</v>
      </c>
      <c r="B3" s="537" t="s">
        <v>444</v>
      </c>
      <c r="C3" s="538">
        <v>22372251</v>
      </c>
      <c r="D3" s="538">
        <v>23357404</v>
      </c>
      <c r="E3" s="670">
        <v>22372251</v>
      </c>
      <c r="F3" s="670">
        <v>23357404</v>
      </c>
      <c r="G3" s="671">
        <v>24603955</v>
      </c>
      <c r="H3" s="539">
        <f>G3-F3</f>
        <v>1246551</v>
      </c>
      <c r="I3" s="78">
        <f>IFERROR(H3/ABS(F3), "-")</f>
        <v>5.3368559279961078E-2</v>
      </c>
      <c r="J3" s="541" t="s">
        <v>860</v>
      </c>
      <c r="K3" s="539">
        <f>G3-E3</f>
        <v>2231704</v>
      </c>
      <c r="L3" s="78">
        <f>IFERROR(K3/ABS(E3), "-")</f>
        <v>9.9753216607483972E-2</v>
      </c>
      <c r="M3" s="667" t="s">
        <v>861</v>
      </c>
    </row>
    <row r="4" spans="1:13" ht="337.5" x14ac:dyDescent="0.2">
      <c r="A4" s="101">
        <v>2</v>
      </c>
      <c r="B4" s="537" t="s">
        <v>445</v>
      </c>
      <c r="C4" s="538">
        <v>21195928</v>
      </c>
      <c r="D4" s="538">
        <v>22041133</v>
      </c>
      <c r="E4" s="670">
        <v>21195928</v>
      </c>
      <c r="F4" s="670">
        <v>22041133</v>
      </c>
      <c r="G4" s="672">
        <v>23063661</v>
      </c>
      <c r="H4" s="539">
        <f t="shared" ref="H4:H22" si="0">G4-F4</f>
        <v>1022528</v>
      </c>
      <c r="I4" s="668">
        <f t="shared" ref="I4:I22" si="1">IFERROR(H4/ABS(F4), "-")</f>
        <v>4.6391807535483769E-2</v>
      </c>
      <c r="K4" s="539">
        <f t="shared" ref="K4:K22" si="2">G4-E4</f>
        <v>1867733</v>
      </c>
      <c r="L4" s="78">
        <f t="shared" ref="L4:L22" si="3">IFERROR(K4/ABS(E4), "-")</f>
        <v>8.8117538425305092E-2</v>
      </c>
      <c r="M4" s="541" t="s">
        <v>885</v>
      </c>
    </row>
    <row r="5" spans="1:13" ht="56.25" x14ac:dyDescent="0.2">
      <c r="A5" s="542">
        <v>3</v>
      </c>
      <c r="B5" s="543" t="s">
        <v>446</v>
      </c>
      <c r="C5" s="544">
        <v>1176323</v>
      </c>
      <c r="D5" s="544">
        <f>D3-D4</f>
        <v>1316271</v>
      </c>
      <c r="E5" s="673">
        <v>1176323</v>
      </c>
      <c r="F5" s="673">
        <f>F3-F4</f>
        <v>1316271</v>
      </c>
      <c r="G5" s="674">
        <f>G3-G4</f>
        <v>1540294</v>
      </c>
      <c r="H5" s="546">
        <f t="shared" si="0"/>
        <v>224023</v>
      </c>
      <c r="I5" s="547">
        <f t="shared" si="1"/>
        <v>0.17019519536630376</v>
      </c>
      <c r="J5" s="548"/>
      <c r="K5" s="546">
        <f t="shared" si="2"/>
        <v>363971</v>
      </c>
      <c r="L5" s="547">
        <f t="shared" si="3"/>
        <v>0.30941416600712557</v>
      </c>
      <c r="M5" s="549"/>
    </row>
    <row r="6" spans="1:13" ht="18.75" x14ac:dyDescent="0.2">
      <c r="A6" s="101">
        <v>4</v>
      </c>
      <c r="B6" s="537" t="s">
        <v>447</v>
      </c>
      <c r="C6" s="538"/>
      <c r="D6" s="538"/>
      <c r="E6" s="670"/>
      <c r="F6" s="670"/>
      <c r="G6" s="670"/>
      <c r="H6" s="539">
        <f t="shared" si="0"/>
        <v>0</v>
      </c>
      <c r="I6" s="78" t="str">
        <f t="shared" si="1"/>
        <v>-</v>
      </c>
      <c r="J6" s="550"/>
      <c r="K6" s="539">
        <f t="shared" si="2"/>
        <v>0</v>
      </c>
      <c r="L6" s="78" t="str">
        <f t="shared" si="3"/>
        <v>-</v>
      </c>
      <c r="M6" s="550"/>
    </row>
    <row r="7" spans="1:13" ht="37.5" x14ac:dyDescent="0.2">
      <c r="A7" s="101">
        <v>5</v>
      </c>
      <c r="B7" s="537" t="s">
        <v>448</v>
      </c>
      <c r="C7" s="538">
        <v>1140827</v>
      </c>
      <c r="D7" s="538">
        <v>1146123</v>
      </c>
      <c r="E7" s="670">
        <v>1140827</v>
      </c>
      <c r="F7" s="670">
        <v>1146123</v>
      </c>
      <c r="G7" s="675">
        <v>1094473</v>
      </c>
      <c r="H7" s="539">
        <f t="shared" si="0"/>
        <v>-51650</v>
      </c>
      <c r="I7" s="668">
        <f t="shared" si="1"/>
        <v>-4.5064971211641332E-2</v>
      </c>
      <c r="J7" s="540"/>
      <c r="K7" s="539">
        <f>G7-E7</f>
        <v>-46354</v>
      </c>
      <c r="L7" s="78">
        <f t="shared" si="3"/>
        <v>-4.0631927540284371E-2</v>
      </c>
      <c r="M7" s="540"/>
    </row>
    <row r="8" spans="1:13" ht="150" x14ac:dyDescent="0.2">
      <c r="A8" s="101">
        <v>6</v>
      </c>
      <c r="B8" s="537" t="s">
        <v>449</v>
      </c>
      <c r="C8" s="538">
        <v>528431</v>
      </c>
      <c r="D8" s="538">
        <v>599852</v>
      </c>
      <c r="E8" s="670">
        <v>528431</v>
      </c>
      <c r="F8" s="670">
        <v>599852</v>
      </c>
      <c r="G8" s="676">
        <v>631452</v>
      </c>
      <c r="H8" s="539">
        <f t="shared" si="0"/>
        <v>31600</v>
      </c>
      <c r="I8" s="78">
        <f t="shared" si="1"/>
        <v>5.2679660983042484E-2</v>
      </c>
      <c r="J8" s="541" t="s">
        <v>862</v>
      </c>
      <c r="K8" s="539">
        <f t="shared" si="2"/>
        <v>103021</v>
      </c>
      <c r="L8" s="78">
        <f t="shared" si="3"/>
        <v>0.19495638976517274</v>
      </c>
      <c r="M8" s="541" t="s">
        <v>863</v>
      </c>
    </row>
    <row r="9" spans="1:13" ht="318.75" x14ac:dyDescent="0.2">
      <c r="A9" s="101">
        <v>7</v>
      </c>
      <c r="B9" s="537" t="s">
        <v>450</v>
      </c>
      <c r="C9" s="538">
        <f>776462+9437</f>
        <v>785899</v>
      </c>
      <c r="D9" s="538">
        <v>667911</v>
      </c>
      <c r="E9" s="670">
        <f>776462+9437</f>
        <v>785899</v>
      </c>
      <c r="F9" s="670">
        <v>667911</v>
      </c>
      <c r="G9" s="672">
        <v>885578</v>
      </c>
      <c r="H9" s="539">
        <f t="shared" si="0"/>
        <v>217667</v>
      </c>
      <c r="I9" s="78">
        <f t="shared" si="1"/>
        <v>0.32589222216732466</v>
      </c>
      <c r="J9" s="541" t="s">
        <v>864</v>
      </c>
      <c r="K9" s="539">
        <f t="shared" si="2"/>
        <v>99679</v>
      </c>
      <c r="L9" s="78">
        <f t="shared" si="3"/>
        <v>0.12683436421219521</v>
      </c>
      <c r="M9" s="541" t="s">
        <v>886</v>
      </c>
    </row>
    <row r="10" spans="1:13" ht="56.25" x14ac:dyDescent="0.2">
      <c r="A10" s="101">
        <v>8</v>
      </c>
      <c r="B10" s="537" t="s">
        <v>451</v>
      </c>
      <c r="C10" s="538"/>
      <c r="D10" s="538"/>
      <c r="E10" s="670"/>
      <c r="F10" s="670"/>
      <c r="G10" s="670"/>
      <c r="H10" s="539">
        <f>G10-F10</f>
        <v>0</v>
      </c>
      <c r="I10" s="78" t="str">
        <f>IFERROR(H10/ABS(F10), "-")</f>
        <v>-</v>
      </c>
      <c r="J10" s="550"/>
      <c r="K10" s="539">
        <f t="shared" si="2"/>
        <v>0</v>
      </c>
      <c r="L10" s="78" t="str">
        <f t="shared" si="3"/>
        <v>-</v>
      </c>
      <c r="M10" s="550"/>
    </row>
    <row r="11" spans="1:13" ht="93.75" x14ac:dyDescent="0.2">
      <c r="A11" s="101">
        <v>9</v>
      </c>
      <c r="B11" s="537" t="s">
        <v>452</v>
      </c>
      <c r="C11" s="538"/>
      <c r="D11" s="538"/>
      <c r="E11" s="670"/>
      <c r="F11" s="670"/>
      <c r="G11" s="670"/>
      <c r="H11" s="539">
        <f t="shared" si="0"/>
        <v>0</v>
      </c>
      <c r="I11" s="78" t="str">
        <f t="shared" si="1"/>
        <v>-</v>
      </c>
      <c r="J11" s="550"/>
      <c r="K11" s="539">
        <f t="shared" si="2"/>
        <v>0</v>
      </c>
      <c r="L11" s="78" t="str">
        <f t="shared" si="3"/>
        <v>-</v>
      </c>
      <c r="M11" s="550"/>
    </row>
    <row r="12" spans="1:13" ht="56.25" x14ac:dyDescent="0.2">
      <c r="A12" s="101">
        <v>10</v>
      </c>
      <c r="B12" s="537" t="s">
        <v>453</v>
      </c>
      <c r="C12" s="538">
        <v>57</v>
      </c>
      <c r="D12" s="538"/>
      <c r="E12" s="670">
        <v>57</v>
      </c>
      <c r="F12" s="670"/>
      <c r="G12" s="670">
        <v>63</v>
      </c>
      <c r="H12" s="539">
        <f t="shared" si="0"/>
        <v>63</v>
      </c>
      <c r="I12" s="78" t="str">
        <f t="shared" si="1"/>
        <v>-</v>
      </c>
      <c r="J12" s="540"/>
      <c r="K12" s="539">
        <f t="shared" si="2"/>
        <v>6</v>
      </c>
      <c r="L12" s="78">
        <f t="shared" si="3"/>
        <v>0.10526315789473684</v>
      </c>
      <c r="M12" s="782" t="s">
        <v>865</v>
      </c>
    </row>
    <row r="13" spans="1:13" ht="75" x14ac:dyDescent="0.2">
      <c r="A13" s="101">
        <v>11</v>
      </c>
      <c r="B13" s="537" t="s">
        <v>454</v>
      </c>
      <c r="C13" s="538"/>
      <c r="D13" s="538"/>
      <c r="E13" s="670"/>
      <c r="F13" s="670"/>
      <c r="G13" s="670"/>
      <c r="H13" s="539">
        <f t="shared" si="0"/>
        <v>0</v>
      </c>
      <c r="I13" s="78" t="str">
        <f t="shared" si="1"/>
        <v>-</v>
      </c>
      <c r="J13" s="550"/>
      <c r="K13" s="539">
        <f t="shared" si="2"/>
        <v>0</v>
      </c>
      <c r="L13" s="78" t="str">
        <f t="shared" si="3"/>
        <v>-</v>
      </c>
      <c r="M13" s="783"/>
    </row>
    <row r="14" spans="1:13" ht="37.5" x14ac:dyDescent="0.2">
      <c r="A14" s="101">
        <v>12</v>
      </c>
      <c r="B14" s="537" t="s">
        <v>455</v>
      </c>
      <c r="C14" s="538"/>
      <c r="D14" s="538"/>
      <c r="E14" s="670"/>
      <c r="F14" s="670"/>
      <c r="G14" s="670"/>
      <c r="H14" s="539">
        <f t="shared" si="0"/>
        <v>0</v>
      </c>
      <c r="I14" s="78" t="str">
        <f t="shared" si="1"/>
        <v>-</v>
      </c>
      <c r="J14" s="540"/>
      <c r="K14" s="539">
        <f t="shared" si="2"/>
        <v>0</v>
      </c>
      <c r="L14" s="78" t="str">
        <f t="shared" si="3"/>
        <v>-</v>
      </c>
      <c r="M14" s="784"/>
    </row>
    <row r="15" spans="1:13" ht="75" x14ac:dyDescent="0.2">
      <c r="A15" s="542">
        <v>13</v>
      </c>
      <c r="B15" s="543" t="s">
        <v>456</v>
      </c>
      <c r="C15" s="545">
        <v>-221915</v>
      </c>
      <c r="D15" s="545">
        <v>102089</v>
      </c>
      <c r="E15" s="674">
        <v>-221915</v>
      </c>
      <c r="F15" s="674">
        <v>102089</v>
      </c>
      <c r="G15" s="674">
        <f>G5-G7+G8-G9+G12</f>
        <v>191758</v>
      </c>
      <c r="H15" s="546">
        <f t="shared" si="0"/>
        <v>89669</v>
      </c>
      <c r="I15" s="547">
        <f t="shared" si="1"/>
        <v>0.87834144716864693</v>
      </c>
      <c r="J15" s="549"/>
      <c r="K15" s="546">
        <f t="shared" si="2"/>
        <v>413673</v>
      </c>
      <c r="L15" s="547">
        <f t="shared" si="3"/>
        <v>1.8641056260279838</v>
      </c>
      <c r="M15" s="549"/>
    </row>
    <row r="16" spans="1:13" ht="18.75" x14ac:dyDescent="0.2">
      <c r="A16" s="101">
        <v>14</v>
      </c>
      <c r="B16" s="537" t="s">
        <v>457</v>
      </c>
      <c r="C16" s="538"/>
      <c r="D16" s="538"/>
      <c r="E16" s="670"/>
      <c r="F16" s="670"/>
      <c r="G16" s="670"/>
      <c r="H16" s="539">
        <f t="shared" si="0"/>
        <v>0</v>
      </c>
      <c r="I16" s="78" t="str">
        <f t="shared" si="1"/>
        <v>-</v>
      </c>
      <c r="J16" s="550"/>
      <c r="K16" s="539">
        <f t="shared" si="2"/>
        <v>0</v>
      </c>
      <c r="L16" s="78" t="str">
        <f t="shared" si="3"/>
        <v>-</v>
      </c>
      <c r="M16" s="550"/>
    </row>
    <row r="17" spans="1:13" ht="18.75" x14ac:dyDescent="0.2">
      <c r="A17" s="101">
        <v>15</v>
      </c>
      <c r="B17" s="537" t="s">
        <v>458</v>
      </c>
      <c r="C17" s="538"/>
      <c r="D17" s="538"/>
      <c r="E17" s="670"/>
      <c r="F17" s="670"/>
      <c r="G17" s="670"/>
      <c r="H17" s="539">
        <f t="shared" si="0"/>
        <v>0</v>
      </c>
      <c r="I17" s="78" t="str">
        <f t="shared" si="1"/>
        <v>-</v>
      </c>
      <c r="J17" s="550"/>
      <c r="K17" s="539">
        <f t="shared" si="2"/>
        <v>0</v>
      </c>
      <c r="L17" s="78" t="str">
        <f t="shared" si="3"/>
        <v>-</v>
      </c>
      <c r="M17" s="550"/>
    </row>
    <row r="18" spans="1:13" ht="56.25" x14ac:dyDescent="0.2">
      <c r="A18" s="101">
        <v>16</v>
      </c>
      <c r="B18" s="537" t="s">
        <v>459</v>
      </c>
      <c r="C18" s="538"/>
      <c r="D18" s="538"/>
      <c r="E18" s="670"/>
      <c r="F18" s="670"/>
      <c r="G18" s="670"/>
      <c r="H18" s="539">
        <f t="shared" si="0"/>
        <v>0</v>
      </c>
      <c r="I18" s="78" t="str">
        <f t="shared" si="1"/>
        <v>-</v>
      </c>
      <c r="J18" s="550"/>
      <c r="K18" s="539">
        <f t="shared" si="2"/>
        <v>0</v>
      </c>
      <c r="L18" s="78" t="str">
        <f t="shared" si="3"/>
        <v>-</v>
      </c>
      <c r="M18" s="550"/>
    </row>
    <row r="19" spans="1:13" ht="56.25" x14ac:dyDescent="0.2">
      <c r="A19" s="101">
        <v>17</v>
      </c>
      <c r="B19" s="537" t="s">
        <v>460</v>
      </c>
      <c r="C19" s="538"/>
      <c r="D19" s="538"/>
      <c r="E19" s="670"/>
      <c r="F19" s="670"/>
      <c r="G19" s="670"/>
      <c r="H19" s="539">
        <f t="shared" si="0"/>
        <v>0</v>
      </c>
      <c r="I19" s="78" t="str">
        <f t="shared" si="1"/>
        <v>-</v>
      </c>
      <c r="J19" s="550"/>
      <c r="K19" s="539">
        <f t="shared" si="2"/>
        <v>0</v>
      </c>
      <c r="L19" s="78" t="str">
        <f t="shared" si="3"/>
        <v>-</v>
      </c>
      <c r="M19" s="550"/>
    </row>
    <row r="20" spans="1:13" ht="37.5" x14ac:dyDescent="0.2">
      <c r="A20" s="101">
        <v>18</v>
      </c>
      <c r="B20" s="537" t="s">
        <v>461</v>
      </c>
      <c r="C20" s="538"/>
      <c r="D20" s="538"/>
      <c r="E20" s="670"/>
      <c r="F20" s="670"/>
      <c r="G20" s="670"/>
      <c r="H20" s="539">
        <f t="shared" si="0"/>
        <v>0</v>
      </c>
      <c r="I20" s="78" t="str">
        <f t="shared" si="1"/>
        <v>-</v>
      </c>
      <c r="J20" s="550"/>
      <c r="K20" s="539">
        <f t="shared" si="2"/>
        <v>0</v>
      </c>
      <c r="L20" s="78" t="str">
        <f t="shared" si="3"/>
        <v>-</v>
      </c>
      <c r="M20" s="550"/>
    </row>
    <row r="21" spans="1:13" ht="18.75" x14ac:dyDescent="0.2">
      <c r="A21" s="101">
        <v>19</v>
      </c>
      <c r="B21" s="537" t="s">
        <v>462</v>
      </c>
      <c r="C21" s="538"/>
      <c r="D21" s="538"/>
      <c r="E21" s="670"/>
      <c r="F21" s="670"/>
      <c r="G21" s="670"/>
      <c r="H21" s="539">
        <f t="shared" si="0"/>
        <v>0</v>
      </c>
      <c r="I21" s="78" t="str">
        <f t="shared" si="1"/>
        <v>-</v>
      </c>
      <c r="J21" s="550"/>
      <c r="K21" s="539">
        <f t="shared" si="2"/>
        <v>0</v>
      </c>
      <c r="L21" s="78" t="str">
        <f t="shared" si="3"/>
        <v>-</v>
      </c>
      <c r="M21" s="550"/>
    </row>
    <row r="22" spans="1:13" ht="56.25" x14ac:dyDescent="0.2">
      <c r="A22" s="542">
        <v>20</v>
      </c>
      <c r="B22" s="543" t="s">
        <v>463</v>
      </c>
      <c r="C22" s="545">
        <v>-221915</v>
      </c>
      <c r="D22" s="545">
        <f>D3-D4-D7+D8-D9</f>
        <v>102089</v>
      </c>
      <c r="E22" s="674">
        <v>-221915</v>
      </c>
      <c r="F22" s="674">
        <f>F3-F4-F7+F8-F9</f>
        <v>102089</v>
      </c>
      <c r="G22" s="674">
        <f>G15</f>
        <v>191758</v>
      </c>
      <c r="H22" s="546">
        <f t="shared" si="0"/>
        <v>89669</v>
      </c>
      <c r="I22" s="547">
        <f t="shared" si="1"/>
        <v>0.87834144716864693</v>
      </c>
      <c r="J22" s="549"/>
      <c r="K22" s="546">
        <f t="shared" si="2"/>
        <v>413673</v>
      </c>
      <c r="L22" s="547">
        <f t="shared" si="3"/>
        <v>1.8641056260279838</v>
      </c>
      <c r="M22" s="549"/>
    </row>
    <row r="23" spans="1:13" ht="19.5" x14ac:dyDescent="0.2">
      <c r="A23" s="126"/>
      <c r="B23" s="127"/>
      <c r="C23" s="128"/>
      <c r="D23" s="128"/>
      <c r="E23" s="128"/>
      <c r="F23" s="128"/>
      <c r="G23" s="128"/>
      <c r="H23" s="219"/>
      <c r="I23" s="220"/>
      <c r="J23" s="345"/>
      <c r="K23" s="219"/>
      <c r="L23" s="220"/>
      <c r="M23" s="345"/>
    </row>
    <row r="24" spans="1:13" ht="18.75" x14ac:dyDescent="0.2">
      <c r="A24" s="221"/>
      <c r="B24" s="129"/>
      <c r="C24" s="129"/>
      <c r="D24" s="129"/>
      <c r="E24" s="129"/>
      <c r="F24" s="129"/>
      <c r="G24" s="129"/>
      <c r="H24" s="129"/>
      <c r="I24" s="129"/>
      <c r="J24" s="129"/>
      <c r="K24" s="129"/>
      <c r="L24" s="129"/>
      <c r="M24" s="129"/>
    </row>
    <row r="25" spans="1:13" ht="18.75" x14ac:dyDescent="0.2">
      <c r="A25" s="781"/>
      <c r="B25" s="781"/>
      <c r="C25" s="781"/>
      <c r="D25" s="781"/>
      <c r="E25" s="781"/>
      <c r="F25" s="781"/>
      <c r="G25" s="781"/>
      <c r="H25" s="781"/>
      <c r="J25" s="399"/>
    </row>
    <row r="26" spans="1:13" ht="18.75" x14ac:dyDescent="0.2">
      <c r="A26" s="131"/>
      <c r="B26" s="129"/>
      <c r="C26" s="129"/>
      <c r="D26" s="129"/>
      <c r="E26" s="427"/>
      <c r="F26" s="129"/>
      <c r="G26" s="427"/>
      <c r="H26" s="129"/>
      <c r="I26" s="129"/>
      <c r="J26" s="400"/>
      <c r="K26" s="129"/>
      <c r="L26" s="129"/>
      <c r="M26" s="129"/>
    </row>
    <row r="27" spans="1:13" x14ac:dyDescent="0.2">
      <c r="A27" s="129"/>
      <c r="B27" s="129"/>
      <c r="C27" s="129"/>
      <c r="D27" s="129"/>
      <c r="E27" s="427"/>
      <c r="F27" s="129"/>
      <c r="G27" s="427"/>
      <c r="H27" s="129"/>
      <c r="I27" s="129"/>
      <c r="J27" s="400"/>
      <c r="K27" s="129"/>
      <c r="L27" s="129"/>
      <c r="M27" s="129"/>
    </row>
    <row r="28" spans="1:13" x14ac:dyDescent="0.2">
      <c r="A28" s="129"/>
      <c r="B28" s="129"/>
      <c r="C28" s="129"/>
      <c r="D28" s="129"/>
      <c r="E28" s="427"/>
      <c r="F28" s="129"/>
      <c r="G28" s="427"/>
      <c r="H28" s="129"/>
      <c r="I28" s="129"/>
      <c r="J28" s="400"/>
      <c r="K28" s="129"/>
      <c r="L28" s="129"/>
      <c r="M28" s="129"/>
    </row>
    <row r="29" spans="1:13" ht="18.75" x14ac:dyDescent="0.2">
      <c r="A29" s="130"/>
      <c r="B29" s="131"/>
      <c r="C29" s="132"/>
      <c r="D29" s="132"/>
      <c r="E29" s="132"/>
      <c r="F29" s="132"/>
      <c r="G29" s="132"/>
      <c r="H29" s="132"/>
      <c r="I29" s="132"/>
      <c r="J29" s="401"/>
      <c r="K29" s="132"/>
      <c r="L29" s="132"/>
      <c r="M29" s="132"/>
    </row>
    <row r="30" spans="1:13" ht="18.75" x14ac:dyDescent="0.2">
      <c r="A30" s="130"/>
      <c r="B30" s="131"/>
      <c r="C30" s="132"/>
      <c r="D30" s="132"/>
      <c r="E30" s="132"/>
      <c r="F30" s="132"/>
      <c r="G30" s="132"/>
      <c r="H30" s="132"/>
      <c r="I30" s="132"/>
      <c r="J30" s="401"/>
      <c r="K30" s="132"/>
      <c r="L30" s="132"/>
      <c r="M30" s="132"/>
    </row>
    <row r="31" spans="1:13" ht="18.75" x14ac:dyDescent="0.2">
      <c r="A31" s="130"/>
      <c r="B31" s="131"/>
      <c r="C31" s="132"/>
      <c r="D31" s="132"/>
      <c r="E31" s="132"/>
      <c r="F31" s="132"/>
      <c r="G31" s="132"/>
      <c r="H31" s="132"/>
      <c r="I31" s="132"/>
      <c r="J31" s="132"/>
      <c r="K31" s="132"/>
      <c r="L31" s="132"/>
      <c r="M31" s="132"/>
    </row>
    <row r="32" spans="1:13" ht="18.75" x14ac:dyDescent="0.2">
      <c r="A32" s="130"/>
      <c r="B32" s="131"/>
      <c r="C32" s="132"/>
      <c r="D32" s="132"/>
      <c r="E32" s="132"/>
      <c r="F32" s="132"/>
      <c r="G32" s="132"/>
      <c r="H32" s="132"/>
      <c r="I32" s="132"/>
      <c r="J32" s="132"/>
      <c r="K32" s="132"/>
      <c r="L32" s="132"/>
      <c r="M32" s="132"/>
    </row>
    <row r="33" spans="1:13" ht="18.75" x14ac:dyDescent="0.2">
      <c r="A33" s="130"/>
      <c r="B33" s="131"/>
      <c r="C33" s="132"/>
      <c r="D33" s="132"/>
      <c r="E33" s="132"/>
      <c r="F33" s="132"/>
      <c r="G33" s="132"/>
      <c r="H33" s="132"/>
      <c r="I33" s="132"/>
      <c r="J33" s="132"/>
      <c r="K33" s="132"/>
      <c r="L33" s="132"/>
      <c r="M33" s="132"/>
    </row>
    <row r="34" spans="1:13" ht="18.75" x14ac:dyDescent="0.2">
      <c r="A34" s="130"/>
      <c r="B34" s="131"/>
      <c r="C34" s="132"/>
      <c r="D34" s="132"/>
      <c r="E34" s="132"/>
      <c r="F34" s="132"/>
      <c r="G34" s="132"/>
      <c r="H34" s="132"/>
      <c r="I34" s="132"/>
      <c r="J34" s="132"/>
      <c r="K34" s="132"/>
      <c r="L34" s="132"/>
      <c r="M34" s="132"/>
    </row>
  </sheetData>
  <sheetProtection formatColumns="0" formatRows="0"/>
  <mergeCells count="2">
    <mergeCell ref="A25:H25"/>
    <mergeCell ref="M12:M14"/>
  </mergeCells>
  <pageMargins left="0.70866141732283472" right="0.70866141732283472" top="0.74803149606299213" bottom="0.74803149606299213" header="0.31496062992125984" footer="0.31496062992125984"/>
  <pageSetup paperSize="9" fitToHeight="0" orientation="landscape" r:id="rId1"/>
  <headerFooter>
    <oddHeader>&amp;C&amp;"Times New Roman,Bold"&amp;14
Pēļņas/Zaudējumu aprēķins&amp;R&amp;"Times New Roman,Regular"&amp;14 2.pielikums</oddHeader>
    <oddFooter>&amp;C&amp;"Times New Roman,Regular"&amp;12&amp;F&amp;R&amp;"Times New Roman,Regular"&amp;12&amp;P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3">
    <tabColor rgb="FF92D050"/>
    <pageSetUpPr fitToPage="1"/>
  </sheetPr>
  <dimension ref="A1:S72"/>
  <sheetViews>
    <sheetView topLeftCell="A33" zoomScale="70" zoomScaleNormal="70" workbookViewId="0">
      <selection activeCell="G26" sqref="G26"/>
    </sheetView>
  </sheetViews>
  <sheetFormatPr defaultRowHeight="18.75" x14ac:dyDescent="0.3"/>
  <cols>
    <col min="1" max="1" width="8.42578125" style="103" bestFit="1" customWidth="1"/>
    <col min="2" max="2" width="36.28515625" style="103" customWidth="1"/>
    <col min="3" max="3" width="17.7109375" style="9" customWidth="1"/>
    <col min="4" max="4" width="16.85546875" style="9" customWidth="1"/>
    <col min="5" max="7" width="17.7109375" style="9" customWidth="1"/>
    <col min="8" max="9" width="17.7109375" style="64" customWidth="1"/>
    <col min="10" max="10" width="43.28515625" style="9" customWidth="1"/>
    <col min="11" max="12" width="17.7109375" style="64" customWidth="1"/>
    <col min="13" max="13" width="52" style="9" customWidth="1"/>
    <col min="14" max="14" width="9.140625" style="9" customWidth="1"/>
    <col min="15" max="15" width="11.7109375" style="9" customWidth="1"/>
    <col min="16" max="16" width="59.7109375" style="9" customWidth="1"/>
    <col min="17" max="16384" width="9.140625" style="9"/>
  </cols>
  <sheetData>
    <row r="1" spans="1:16" s="103" customFormat="1" ht="132" customHeight="1" x14ac:dyDescent="0.3">
      <c r="A1" s="101" t="s">
        <v>0</v>
      </c>
      <c r="B1" s="102" t="s">
        <v>359</v>
      </c>
      <c r="C1" s="1" t="s">
        <v>687</v>
      </c>
      <c r="D1" s="1" t="s">
        <v>682</v>
      </c>
      <c r="E1" s="1" t="s">
        <v>776</v>
      </c>
      <c r="F1" s="1" t="s">
        <v>777</v>
      </c>
      <c r="G1" s="1" t="s">
        <v>779</v>
      </c>
      <c r="H1" s="7" t="s">
        <v>689</v>
      </c>
      <c r="I1" s="7" t="s">
        <v>684</v>
      </c>
      <c r="J1" s="1" t="s">
        <v>754</v>
      </c>
      <c r="K1" s="7" t="s">
        <v>690</v>
      </c>
      <c r="L1" s="7" t="s">
        <v>686</v>
      </c>
      <c r="M1" s="1" t="s">
        <v>754</v>
      </c>
    </row>
    <row r="2" spans="1:16" s="103" customFormat="1" x14ac:dyDescent="0.3">
      <c r="A2" s="8">
        <v>1</v>
      </c>
      <c r="B2" s="1">
        <v>2</v>
      </c>
      <c r="C2" s="1">
        <v>3</v>
      </c>
      <c r="D2" s="101">
        <v>4</v>
      </c>
      <c r="E2" s="1">
        <v>5</v>
      </c>
      <c r="F2" s="1">
        <v>6</v>
      </c>
      <c r="G2" s="1">
        <v>7</v>
      </c>
      <c r="H2" s="7">
        <v>8</v>
      </c>
      <c r="I2" s="71">
        <v>9</v>
      </c>
      <c r="J2" s="1">
        <v>10</v>
      </c>
      <c r="K2" s="72">
        <v>11</v>
      </c>
      <c r="L2" s="71">
        <v>12</v>
      </c>
      <c r="M2" s="1">
        <v>13</v>
      </c>
    </row>
    <row r="3" spans="1:16" s="103" customFormat="1" ht="108" customHeight="1" x14ac:dyDescent="0.3">
      <c r="A3" s="104">
        <v>45000</v>
      </c>
      <c r="B3" s="105" t="s">
        <v>360</v>
      </c>
      <c r="C3" s="360">
        <f>C4+C5+C6</f>
        <v>6648674</v>
      </c>
      <c r="D3" s="206">
        <f>D4+D5+D6</f>
        <v>6308215</v>
      </c>
      <c r="E3" s="360">
        <f>E4+E5+E6</f>
        <v>6648674</v>
      </c>
      <c r="F3" s="206">
        <f>F4+F5+F6</f>
        <v>6308215</v>
      </c>
      <c r="G3" s="704">
        <f>G4+G5+G6</f>
        <v>6781591</v>
      </c>
      <c r="H3" s="106">
        <f>G3-F3</f>
        <v>473376</v>
      </c>
      <c r="I3" s="107">
        <f>IFERROR(H3/ABS(F3), "-")</f>
        <v>7.5041196281356928E-2</v>
      </c>
      <c r="J3" s="700" t="s">
        <v>887</v>
      </c>
      <c r="K3" s="106">
        <f>G3-E3</f>
        <v>132917</v>
      </c>
      <c r="L3" s="107">
        <f>IFERROR(K3/ABS(E3), "-")</f>
        <v>1.9991505073041631E-2</v>
      </c>
      <c r="M3" s="701"/>
    </row>
    <row r="4" spans="1:16" x14ac:dyDescent="0.3">
      <c r="A4" s="108">
        <v>45100</v>
      </c>
      <c r="B4" s="109" t="s">
        <v>361</v>
      </c>
      <c r="C4" s="205">
        <v>4044523</v>
      </c>
      <c r="D4" s="207">
        <v>4044523</v>
      </c>
      <c r="E4" s="205">
        <v>4044523</v>
      </c>
      <c r="F4" s="207">
        <v>4044523</v>
      </c>
      <c r="G4" s="705">
        <v>4044523</v>
      </c>
      <c r="H4" s="110">
        <f t="shared" ref="H4:H27" si="0">G4-F4</f>
        <v>0</v>
      </c>
      <c r="I4" s="78">
        <f t="shared" ref="I4:I59" si="1">IFERROR(H4/ABS(F4), "-")</f>
        <v>0</v>
      </c>
      <c r="J4" s="423"/>
      <c r="K4" s="110">
        <f t="shared" ref="K4:K27" si="2">G4-E4</f>
        <v>0</v>
      </c>
      <c r="L4" s="78">
        <f>IFERROR(K4/ABS(E4), "-")</f>
        <v>0</v>
      </c>
      <c r="M4" s="423"/>
    </row>
    <row r="5" spans="1:16" x14ac:dyDescent="0.3">
      <c r="A5" s="108">
        <v>45200</v>
      </c>
      <c r="B5" s="109" t="s">
        <v>362</v>
      </c>
      <c r="C5" s="205">
        <v>2199699</v>
      </c>
      <c r="D5" s="207">
        <v>2141158</v>
      </c>
      <c r="E5" s="205">
        <v>2199699</v>
      </c>
      <c r="F5" s="207">
        <v>2141158</v>
      </c>
      <c r="G5" s="705">
        <v>2140858</v>
      </c>
      <c r="H5" s="110">
        <f t="shared" si="0"/>
        <v>-300</v>
      </c>
      <c r="I5" s="78">
        <f t="shared" si="1"/>
        <v>-1.4011109876057722E-4</v>
      </c>
      <c r="J5" s="423"/>
      <c r="K5" s="110">
        <f t="shared" si="2"/>
        <v>-58841</v>
      </c>
      <c r="L5" s="78">
        <f t="shared" ref="L5:L59" si="3">IFERROR(K5/ABS(E5), "-")</f>
        <v>-2.6749568918292912E-2</v>
      </c>
      <c r="M5" s="423"/>
    </row>
    <row r="6" spans="1:16" s="103" customFormat="1" x14ac:dyDescent="0.3">
      <c r="A6" s="111">
        <v>45300</v>
      </c>
      <c r="B6" s="105" t="s">
        <v>363</v>
      </c>
      <c r="C6" s="361">
        <f>C7+C8</f>
        <v>404452</v>
      </c>
      <c r="D6" s="208">
        <f>D7+D8</f>
        <v>122534</v>
      </c>
      <c r="E6" s="361">
        <f>E7+E8</f>
        <v>404452</v>
      </c>
      <c r="F6" s="208">
        <f>F7+F8</f>
        <v>122534</v>
      </c>
      <c r="G6" s="706">
        <f>G7+G8</f>
        <v>596210</v>
      </c>
      <c r="H6" s="112">
        <f t="shared" si="0"/>
        <v>473676</v>
      </c>
      <c r="I6" s="113">
        <f t="shared" si="1"/>
        <v>3.8656699365074183</v>
      </c>
      <c r="J6" s="423"/>
      <c r="K6" s="222">
        <f t="shared" si="2"/>
        <v>191758</v>
      </c>
      <c r="L6" s="223">
        <f t="shared" si="3"/>
        <v>0.47411806592624095</v>
      </c>
      <c r="M6" s="423"/>
    </row>
    <row r="7" spans="1:16" ht="98.25" customHeight="1" x14ac:dyDescent="0.3">
      <c r="A7" s="108">
        <v>45310</v>
      </c>
      <c r="B7" s="109" t="s">
        <v>364</v>
      </c>
      <c r="C7" s="205">
        <v>626367</v>
      </c>
      <c r="D7" s="207">
        <v>20445</v>
      </c>
      <c r="E7" s="205">
        <v>626367</v>
      </c>
      <c r="F7" s="207">
        <v>20445</v>
      </c>
      <c r="G7" s="705">
        <v>404452</v>
      </c>
      <c r="H7" s="110">
        <f t="shared" si="0"/>
        <v>384007</v>
      </c>
      <c r="I7" s="78">
        <f t="shared" si="1"/>
        <v>18.782440694546345</v>
      </c>
      <c r="J7" s="700" t="s">
        <v>888</v>
      </c>
      <c r="K7" s="110">
        <f t="shared" si="2"/>
        <v>-221915</v>
      </c>
      <c r="L7" s="78">
        <f t="shared" si="3"/>
        <v>-0.35428909888292326</v>
      </c>
      <c r="M7" s="700" t="s">
        <v>740</v>
      </c>
    </row>
    <row r="8" spans="1:16" ht="132" customHeight="1" x14ac:dyDescent="0.3">
      <c r="A8" s="108">
        <v>45320</v>
      </c>
      <c r="B8" s="109" t="s">
        <v>365</v>
      </c>
      <c r="C8" s="205">
        <v>-221915</v>
      </c>
      <c r="D8" s="207">
        <v>102089</v>
      </c>
      <c r="E8" s="205">
        <v>-221915</v>
      </c>
      <c r="F8" s="207">
        <v>102089</v>
      </c>
      <c r="G8" s="705">
        <v>191758</v>
      </c>
      <c r="H8" s="110">
        <f t="shared" si="0"/>
        <v>89669</v>
      </c>
      <c r="I8" s="78">
        <f t="shared" si="1"/>
        <v>0.87834144716864693</v>
      </c>
      <c r="J8" s="700" t="s">
        <v>891</v>
      </c>
      <c r="K8" s="110">
        <f t="shared" si="2"/>
        <v>413673</v>
      </c>
      <c r="L8" s="78">
        <f t="shared" si="3"/>
        <v>1.8641056260279838</v>
      </c>
      <c r="M8" s="700" t="s">
        <v>892</v>
      </c>
    </row>
    <row r="9" spans="1:16" ht="66.75" customHeight="1" x14ac:dyDescent="0.3">
      <c r="A9" s="104">
        <v>46000</v>
      </c>
      <c r="B9" s="114" t="s">
        <v>366</v>
      </c>
      <c r="C9" s="360">
        <v>186196</v>
      </c>
      <c r="D9" s="209">
        <v>196200</v>
      </c>
      <c r="E9" s="360">
        <v>186196</v>
      </c>
      <c r="F9" s="209">
        <v>196200</v>
      </c>
      <c r="G9" s="707">
        <v>214168</v>
      </c>
      <c r="H9" s="62">
        <f t="shared" si="0"/>
        <v>17968</v>
      </c>
      <c r="I9" s="115">
        <f t="shared" si="1"/>
        <v>9.1580020387359837E-2</v>
      </c>
      <c r="J9" s="424"/>
      <c r="K9" s="62">
        <f t="shared" si="2"/>
        <v>27972</v>
      </c>
      <c r="L9" s="115">
        <f t="shared" si="3"/>
        <v>0.15022879116629789</v>
      </c>
      <c r="M9" s="424"/>
    </row>
    <row r="10" spans="1:16" s="103" customFormat="1" ht="19.5" x14ac:dyDescent="0.3">
      <c r="A10" s="104">
        <v>47000</v>
      </c>
      <c r="B10" s="114" t="s">
        <v>367</v>
      </c>
      <c r="C10" s="360">
        <f>C11+C18</f>
        <v>8117211</v>
      </c>
      <c r="D10" s="206">
        <f t="shared" ref="D10:F10" si="4">D11+D18</f>
        <v>7909958</v>
      </c>
      <c r="E10" s="360">
        <f>E11+E18</f>
        <v>8117211</v>
      </c>
      <c r="F10" s="206">
        <f t="shared" si="4"/>
        <v>7909958</v>
      </c>
      <c r="G10" s="704">
        <f>G11+G18</f>
        <v>8720264</v>
      </c>
      <c r="H10" s="106">
        <f t="shared" si="0"/>
        <v>810306</v>
      </c>
      <c r="I10" s="107">
        <f t="shared" si="1"/>
        <v>0.10244125190045257</v>
      </c>
      <c r="J10" s="425"/>
      <c r="K10" s="106">
        <f t="shared" si="2"/>
        <v>603053</v>
      </c>
      <c r="L10" s="107">
        <f t="shared" si="3"/>
        <v>7.4293128514215045E-2</v>
      </c>
      <c r="M10" s="425"/>
    </row>
    <row r="11" spans="1:16" s="103" customFormat="1" ht="19.5" x14ac:dyDescent="0.3">
      <c r="A11" s="104">
        <v>47100</v>
      </c>
      <c r="B11" s="114" t="s">
        <v>368</v>
      </c>
      <c r="C11" s="360">
        <f>C15+C16</f>
        <v>5930401</v>
      </c>
      <c r="D11" s="206">
        <f>D15+D16</f>
        <v>5677211</v>
      </c>
      <c r="E11" s="360">
        <f>E15+E16</f>
        <v>5930401</v>
      </c>
      <c r="F11" s="206">
        <f>F15+F16</f>
        <v>5677211</v>
      </c>
      <c r="G11" s="704">
        <f>G15+G16</f>
        <v>5857968</v>
      </c>
      <c r="H11" s="106">
        <f t="shared" si="0"/>
        <v>180757</v>
      </c>
      <c r="I11" s="107">
        <f t="shared" si="1"/>
        <v>3.1839049138740833E-2</v>
      </c>
      <c r="J11" s="785" t="s">
        <v>893</v>
      </c>
      <c r="K11" s="106">
        <f t="shared" si="2"/>
        <v>-72433</v>
      </c>
      <c r="L11" s="107">
        <f t="shared" si="3"/>
        <v>-1.2213845235760617E-2</v>
      </c>
      <c r="M11" s="785" t="s">
        <v>894</v>
      </c>
    </row>
    <row r="12" spans="1:16" x14ac:dyDescent="0.3">
      <c r="A12" s="108">
        <v>47110</v>
      </c>
      <c r="B12" s="109" t="s">
        <v>369</v>
      </c>
      <c r="C12" s="362"/>
      <c r="D12" s="210"/>
      <c r="E12" s="362"/>
      <c r="F12" s="210"/>
      <c r="G12" s="708"/>
      <c r="H12" s="63">
        <f t="shared" si="0"/>
        <v>0</v>
      </c>
      <c r="I12" s="59" t="str">
        <f t="shared" si="1"/>
        <v>-</v>
      </c>
      <c r="J12" s="786"/>
      <c r="K12" s="63">
        <f t="shared" si="2"/>
        <v>0</v>
      </c>
      <c r="L12" s="59" t="str">
        <f t="shared" si="3"/>
        <v>-</v>
      </c>
      <c r="M12" s="786"/>
    </row>
    <row r="13" spans="1:16" ht="37.5" x14ac:dyDescent="0.3">
      <c r="A13" s="108">
        <v>47120</v>
      </c>
      <c r="B13" s="109" t="s">
        <v>370</v>
      </c>
      <c r="C13" s="362"/>
      <c r="D13" s="210"/>
      <c r="E13" s="362"/>
      <c r="F13" s="210"/>
      <c r="G13" s="708"/>
      <c r="H13" s="63">
        <f t="shared" si="0"/>
        <v>0</v>
      </c>
      <c r="I13" s="59" t="str">
        <f t="shared" si="1"/>
        <v>-</v>
      </c>
      <c r="J13" s="786"/>
      <c r="K13" s="63">
        <f t="shared" si="2"/>
        <v>0</v>
      </c>
      <c r="L13" s="59" t="str">
        <f t="shared" si="3"/>
        <v>-</v>
      </c>
      <c r="M13" s="786"/>
    </row>
    <row r="14" spans="1:16" x14ac:dyDescent="0.3">
      <c r="A14" s="108">
        <v>47130</v>
      </c>
      <c r="B14" s="109" t="s">
        <v>371</v>
      </c>
      <c r="C14" s="362"/>
      <c r="D14" s="210"/>
      <c r="E14" s="362"/>
      <c r="F14" s="210"/>
      <c r="G14" s="708"/>
      <c r="H14" s="63">
        <f t="shared" si="0"/>
        <v>0</v>
      </c>
      <c r="I14" s="59" t="str">
        <f t="shared" si="1"/>
        <v>-</v>
      </c>
      <c r="J14" s="786"/>
      <c r="K14" s="63">
        <f t="shared" si="2"/>
        <v>0</v>
      </c>
      <c r="L14" s="59" t="str">
        <f t="shared" si="3"/>
        <v>-</v>
      </c>
      <c r="M14" s="786"/>
    </row>
    <row r="15" spans="1:16" ht="37.5" x14ac:dyDescent="0.3">
      <c r="A15" s="108">
        <v>47131</v>
      </c>
      <c r="B15" s="109" t="s">
        <v>376</v>
      </c>
      <c r="C15" s="363">
        <v>73913</v>
      </c>
      <c r="D15" s="210">
        <v>80000</v>
      </c>
      <c r="E15" s="363">
        <v>73913</v>
      </c>
      <c r="F15" s="210">
        <v>80000</v>
      </c>
      <c r="G15" s="708">
        <v>97309</v>
      </c>
      <c r="H15" s="63">
        <f t="shared" si="0"/>
        <v>17309</v>
      </c>
      <c r="I15" s="59">
        <f t="shared" si="1"/>
        <v>0.21636250000000001</v>
      </c>
      <c r="J15" s="786"/>
      <c r="K15" s="63">
        <f t="shared" si="2"/>
        <v>23396</v>
      </c>
      <c r="L15" s="59">
        <f t="shared" si="3"/>
        <v>0.31653430384370812</v>
      </c>
      <c r="M15" s="786"/>
    </row>
    <row r="16" spans="1:16" x14ac:dyDescent="0.3">
      <c r="A16" s="108">
        <v>47140</v>
      </c>
      <c r="B16" s="109" t="s">
        <v>372</v>
      </c>
      <c r="C16" s="363">
        <v>5856488</v>
      </c>
      <c r="D16" s="210">
        <v>5597211</v>
      </c>
      <c r="E16" s="363">
        <v>5856488</v>
      </c>
      <c r="F16" s="210">
        <v>5597211</v>
      </c>
      <c r="G16" s="705">
        <v>5760659</v>
      </c>
      <c r="H16" s="63">
        <f t="shared" si="0"/>
        <v>163448</v>
      </c>
      <c r="I16" s="59">
        <f t="shared" si="1"/>
        <v>2.9201686339857476E-2</v>
      </c>
      <c r="J16" s="786"/>
      <c r="K16" s="63">
        <f t="shared" si="2"/>
        <v>-95829</v>
      </c>
      <c r="L16" s="59">
        <f t="shared" si="3"/>
        <v>-1.6362878230092848E-2</v>
      </c>
      <c r="M16" s="786"/>
      <c r="O16" s="171"/>
      <c r="P16" s="171"/>
    </row>
    <row r="17" spans="1:19" ht="36.75" customHeight="1" x14ac:dyDescent="0.3">
      <c r="A17" s="108">
        <v>47150</v>
      </c>
      <c r="B17" s="109" t="s">
        <v>373</v>
      </c>
      <c r="C17" s="362"/>
      <c r="D17" s="210"/>
      <c r="E17" s="362"/>
      <c r="F17" s="210"/>
      <c r="G17" s="708"/>
      <c r="H17" s="63">
        <f t="shared" si="0"/>
        <v>0</v>
      </c>
      <c r="I17" s="59" t="str">
        <f t="shared" si="1"/>
        <v>-</v>
      </c>
      <c r="J17" s="787"/>
      <c r="K17" s="63">
        <f t="shared" si="2"/>
        <v>0</v>
      </c>
      <c r="L17" s="59" t="str">
        <f t="shared" si="3"/>
        <v>-</v>
      </c>
      <c r="M17" s="787"/>
      <c r="O17" s="171"/>
    </row>
    <row r="18" spans="1:19" s="103" customFormat="1" ht="18.75" customHeight="1" x14ac:dyDescent="0.3">
      <c r="A18" s="104">
        <v>47200</v>
      </c>
      <c r="B18" s="114" t="s">
        <v>374</v>
      </c>
      <c r="C18" s="360">
        <f>C21+C22+C23+C24+C25+C26</f>
        <v>2186810</v>
      </c>
      <c r="D18" s="206">
        <f>D21+D22+D23+D24+D25+D26</f>
        <v>2232747</v>
      </c>
      <c r="E18" s="360">
        <f>E21+E22+E23+E24+E25+E26</f>
        <v>2186810</v>
      </c>
      <c r="F18" s="206">
        <f>F21+F22+F23+F24+F25+F26</f>
        <v>2232747</v>
      </c>
      <c r="G18" s="704">
        <f>G21+G22+G23+G24+G25+G26</f>
        <v>2862296</v>
      </c>
      <c r="H18" s="106">
        <f t="shared" si="0"/>
        <v>629549</v>
      </c>
      <c r="I18" s="107">
        <f t="shared" si="1"/>
        <v>0.28196163739107027</v>
      </c>
      <c r="J18" s="785" t="s">
        <v>899</v>
      </c>
      <c r="K18" s="106">
        <f t="shared" si="2"/>
        <v>675486</v>
      </c>
      <c r="L18" s="107">
        <f t="shared" si="3"/>
        <v>0.30889103305728438</v>
      </c>
      <c r="M18" s="785" t="s">
        <v>900</v>
      </c>
    </row>
    <row r="19" spans="1:19" x14ac:dyDescent="0.3">
      <c r="A19" s="108">
        <v>47210</v>
      </c>
      <c r="B19" s="109" t="s">
        <v>369</v>
      </c>
      <c r="C19" s="364"/>
      <c r="D19" s="207"/>
      <c r="E19" s="364"/>
      <c r="F19" s="207"/>
      <c r="G19" s="705"/>
      <c r="H19" s="110">
        <f t="shared" si="0"/>
        <v>0</v>
      </c>
      <c r="I19" s="78" t="str">
        <f t="shared" si="1"/>
        <v>-</v>
      </c>
      <c r="J19" s="786"/>
      <c r="K19" s="110">
        <f t="shared" si="2"/>
        <v>0</v>
      </c>
      <c r="L19" s="78" t="str">
        <f t="shared" si="3"/>
        <v>-</v>
      </c>
      <c r="M19" s="786"/>
    </row>
    <row r="20" spans="1:19" x14ac:dyDescent="0.3">
      <c r="A20" s="108">
        <v>47220</v>
      </c>
      <c r="B20" s="109" t="s">
        <v>371</v>
      </c>
      <c r="C20" s="364"/>
      <c r="D20" s="207"/>
      <c r="E20" s="364"/>
      <c r="F20" s="207"/>
      <c r="G20" s="705"/>
      <c r="H20" s="110">
        <f t="shared" si="0"/>
        <v>0</v>
      </c>
      <c r="I20" s="78" t="str">
        <f t="shared" si="1"/>
        <v>-</v>
      </c>
      <c r="J20" s="786"/>
      <c r="K20" s="110">
        <f t="shared" si="2"/>
        <v>0</v>
      </c>
      <c r="L20" s="78" t="str">
        <f t="shared" si="3"/>
        <v>-</v>
      </c>
      <c r="M20" s="786"/>
    </row>
    <row r="21" spans="1:19" x14ac:dyDescent="0.3">
      <c r="A21" s="108">
        <v>47230</v>
      </c>
      <c r="B21" s="109" t="s">
        <v>375</v>
      </c>
      <c r="C21" s="205">
        <v>6007</v>
      </c>
      <c r="D21" s="207">
        <v>7000</v>
      </c>
      <c r="E21" s="205">
        <v>6007</v>
      </c>
      <c r="F21" s="207">
        <v>7000</v>
      </c>
      <c r="G21" s="705">
        <v>7997</v>
      </c>
      <c r="H21" s="110">
        <f t="shared" si="0"/>
        <v>997</v>
      </c>
      <c r="I21" s="78">
        <f t="shared" si="1"/>
        <v>0.14242857142857143</v>
      </c>
      <c r="J21" s="786"/>
      <c r="K21" s="110">
        <f t="shared" si="2"/>
        <v>1990</v>
      </c>
      <c r="L21" s="78">
        <f t="shared" si="3"/>
        <v>0.33128017313134678</v>
      </c>
      <c r="M21" s="786"/>
      <c r="S21" s="116"/>
    </row>
    <row r="22" spans="1:19" ht="37.5" x14ac:dyDescent="0.3">
      <c r="A22" s="108">
        <v>47240</v>
      </c>
      <c r="B22" s="109" t="s">
        <v>376</v>
      </c>
      <c r="C22" s="205">
        <v>569696</v>
      </c>
      <c r="D22" s="207">
        <v>571370</v>
      </c>
      <c r="E22" s="205">
        <v>569696</v>
      </c>
      <c r="F22" s="207">
        <v>571370</v>
      </c>
      <c r="G22" s="705">
        <v>1097316</v>
      </c>
      <c r="H22" s="110">
        <f t="shared" si="0"/>
        <v>525946</v>
      </c>
      <c r="I22" s="78">
        <f t="shared" si="1"/>
        <v>0.92049985123475153</v>
      </c>
      <c r="J22" s="786"/>
      <c r="K22" s="110"/>
      <c r="L22" s="78">
        <f t="shared" si="3"/>
        <v>0</v>
      </c>
      <c r="M22" s="786"/>
    </row>
    <row r="23" spans="1:19" ht="37.5" x14ac:dyDescent="0.3">
      <c r="A23" s="108">
        <v>47250</v>
      </c>
      <c r="B23" s="109" t="s">
        <v>377</v>
      </c>
      <c r="C23" s="205">
        <v>541954</v>
      </c>
      <c r="D23" s="207">
        <v>550100</v>
      </c>
      <c r="E23" s="205">
        <v>541954</v>
      </c>
      <c r="F23" s="207">
        <v>550100</v>
      </c>
      <c r="G23" s="705">
        <v>647674</v>
      </c>
      <c r="H23" s="110">
        <f t="shared" si="0"/>
        <v>97574</v>
      </c>
      <c r="I23" s="78">
        <f t="shared" si="1"/>
        <v>0.17737502272314123</v>
      </c>
      <c r="J23" s="786"/>
      <c r="K23" s="110">
        <f t="shared" si="2"/>
        <v>105720</v>
      </c>
      <c r="L23" s="78">
        <f t="shared" si="3"/>
        <v>0.19507190647176698</v>
      </c>
      <c r="M23" s="786"/>
    </row>
    <row r="24" spans="1:19" x14ac:dyDescent="0.3">
      <c r="A24" s="108">
        <v>47260</v>
      </c>
      <c r="B24" s="109" t="s">
        <v>378</v>
      </c>
      <c r="C24" s="205">
        <v>86342</v>
      </c>
      <c r="D24" s="207">
        <v>95000</v>
      </c>
      <c r="E24" s="205">
        <v>86342</v>
      </c>
      <c r="F24" s="207">
        <v>95000</v>
      </c>
      <c r="G24" s="705">
        <v>89236</v>
      </c>
      <c r="H24" s="110">
        <f t="shared" si="0"/>
        <v>-5764</v>
      </c>
      <c r="I24" s="78">
        <f t="shared" si="1"/>
        <v>-6.0673684210526317E-2</v>
      </c>
      <c r="J24" s="786"/>
      <c r="K24" s="110">
        <f t="shared" si="2"/>
        <v>2894</v>
      </c>
      <c r="L24" s="78">
        <f t="shared" si="3"/>
        <v>3.3517870792893374E-2</v>
      </c>
      <c r="M24" s="786"/>
    </row>
    <row r="25" spans="1:19" x14ac:dyDescent="0.3">
      <c r="A25" s="108">
        <v>47280</v>
      </c>
      <c r="B25" s="109" t="s">
        <v>372</v>
      </c>
      <c r="C25" s="205">
        <v>259277</v>
      </c>
      <c r="D25" s="207">
        <v>259277</v>
      </c>
      <c r="E25" s="205">
        <v>259277</v>
      </c>
      <c r="F25" s="207">
        <v>259277</v>
      </c>
      <c r="G25" s="705">
        <v>261843</v>
      </c>
      <c r="H25" s="110">
        <f t="shared" si="0"/>
        <v>2566</v>
      </c>
      <c r="I25" s="78">
        <f t="shared" si="1"/>
        <v>9.8967513508718477E-3</v>
      </c>
      <c r="J25" s="786"/>
      <c r="K25" s="110">
        <f t="shared" si="2"/>
        <v>2566</v>
      </c>
      <c r="L25" s="78">
        <f t="shared" si="3"/>
        <v>9.8967513508718477E-3</v>
      </c>
      <c r="M25" s="786"/>
    </row>
    <row r="26" spans="1:19" ht="141.75" customHeight="1" x14ac:dyDescent="0.3">
      <c r="A26" s="108">
        <v>47290</v>
      </c>
      <c r="B26" s="109" t="s">
        <v>379</v>
      </c>
      <c r="C26" s="205">
        <v>723534</v>
      </c>
      <c r="D26" s="207">
        <v>750000</v>
      </c>
      <c r="E26" s="205">
        <v>723534</v>
      </c>
      <c r="F26" s="207">
        <v>750000</v>
      </c>
      <c r="G26" s="705">
        <v>758230</v>
      </c>
      <c r="H26" s="110">
        <f t="shared" si="0"/>
        <v>8230</v>
      </c>
      <c r="I26" s="78">
        <f t="shared" si="1"/>
        <v>1.0973333333333333E-2</v>
      </c>
      <c r="J26" s="787"/>
      <c r="K26" s="110">
        <f t="shared" si="2"/>
        <v>34696</v>
      </c>
      <c r="L26" s="78">
        <f t="shared" si="3"/>
        <v>4.7953517042737454E-2</v>
      </c>
      <c r="M26" s="787"/>
    </row>
    <row r="27" spans="1:19" s="103" customFormat="1" ht="37.5" x14ac:dyDescent="0.3">
      <c r="A27" s="104">
        <v>48000</v>
      </c>
      <c r="B27" s="114" t="s">
        <v>380</v>
      </c>
      <c r="C27" s="360">
        <f>C3+C9+C10</f>
        <v>14952081</v>
      </c>
      <c r="D27" s="206">
        <f t="shared" ref="D27:F27" si="5">D10+D9+D3</f>
        <v>14414373</v>
      </c>
      <c r="E27" s="360">
        <f>E3+E9+E10</f>
        <v>14952081</v>
      </c>
      <c r="F27" s="206">
        <f t="shared" si="5"/>
        <v>14414373</v>
      </c>
      <c r="G27" s="704">
        <f>G10+G9+G3</f>
        <v>15716023</v>
      </c>
      <c r="H27" s="106">
        <f t="shared" si="0"/>
        <v>1301650</v>
      </c>
      <c r="I27" s="107">
        <f t="shared" si="1"/>
        <v>9.0302228199589399E-2</v>
      </c>
      <c r="J27" s="425"/>
      <c r="K27" s="106">
        <f t="shared" si="2"/>
        <v>763942</v>
      </c>
      <c r="L27" s="107">
        <f t="shared" si="3"/>
        <v>5.1092687365725212E-2</v>
      </c>
      <c r="M27" s="425"/>
    </row>
    <row r="28" spans="1:19" x14ac:dyDescent="0.3">
      <c r="A28" s="788"/>
      <c r="B28" s="789"/>
      <c r="C28" s="789"/>
      <c r="D28" s="789"/>
      <c r="E28" s="789"/>
      <c r="F28" s="789"/>
      <c r="G28" s="789"/>
      <c r="H28" s="789"/>
      <c r="I28" s="789"/>
      <c r="J28" s="789"/>
      <c r="K28" s="789"/>
      <c r="L28" s="789"/>
      <c r="M28" s="789"/>
    </row>
    <row r="29" spans="1:19" s="103" customFormat="1" ht="19.5" x14ac:dyDescent="0.3">
      <c r="A29" s="104">
        <v>49000</v>
      </c>
      <c r="B29" s="114" t="s">
        <v>381</v>
      </c>
      <c r="C29" s="206">
        <f>C30+C33</f>
        <v>12622570</v>
      </c>
      <c r="D29" s="206">
        <f>D30+D33</f>
        <v>12714612</v>
      </c>
      <c r="E29" s="206">
        <f>E30+E33</f>
        <v>12622570</v>
      </c>
      <c r="F29" s="206">
        <f>F30+F33</f>
        <v>12714612</v>
      </c>
      <c r="G29" s="704">
        <f>G30+G33</f>
        <v>13125602</v>
      </c>
      <c r="H29" s="106">
        <f t="shared" ref="H29:H55" si="6">G29-F29</f>
        <v>410990</v>
      </c>
      <c r="I29" s="107">
        <f t="shared" si="1"/>
        <v>3.2324226645689229E-2</v>
      </c>
      <c r="J29" s="425"/>
      <c r="K29" s="106">
        <f t="shared" ref="K29:K55" si="7">G29-E29</f>
        <v>503032</v>
      </c>
      <c r="L29" s="107">
        <f t="shared" si="3"/>
        <v>3.9851789294890028E-2</v>
      </c>
      <c r="M29" s="425"/>
      <c r="P29" s="398"/>
    </row>
    <row r="30" spans="1:19" s="103" customFormat="1" ht="19.5" x14ac:dyDescent="0.3">
      <c r="A30" s="104">
        <v>49100</v>
      </c>
      <c r="B30" s="114" t="s">
        <v>382</v>
      </c>
      <c r="C30" s="206">
        <v>54612</v>
      </c>
      <c r="D30" s="206">
        <v>54612</v>
      </c>
      <c r="E30" s="206">
        <v>54612</v>
      </c>
      <c r="F30" s="206">
        <v>54612</v>
      </c>
      <c r="G30" s="704">
        <v>65674</v>
      </c>
      <c r="H30" s="106">
        <f t="shared" si="6"/>
        <v>11062</v>
      </c>
      <c r="I30" s="107">
        <f t="shared" si="1"/>
        <v>0.2025562147513367</v>
      </c>
      <c r="J30" s="785" t="s">
        <v>897</v>
      </c>
      <c r="K30" s="106">
        <f t="shared" si="7"/>
        <v>11062</v>
      </c>
      <c r="L30" s="107">
        <f t="shared" si="3"/>
        <v>0.2025562147513367</v>
      </c>
      <c r="M30" s="785" t="s">
        <v>898</v>
      </c>
    </row>
    <row r="31" spans="1:19" x14ac:dyDescent="0.3">
      <c r="A31" s="108">
        <v>49110</v>
      </c>
      <c r="B31" s="109" t="s">
        <v>383</v>
      </c>
      <c r="C31" s="210"/>
      <c r="D31" s="210"/>
      <c r="E31" s="210"/>
      <c r="F31" s="210"/>
      <c r="G31" s="708"/>
      <c r="H31" s="63">
        <f t="shared" si="6"/>
        <v>0</v>
      </c>
      <c r="I31" s="59" t="str">
        <f t="shared" si="1"/>
        <v>-</v>
      </c>
      <c r="J31" s="786"/>
      <c r="K31" s="63">
        <f t="shared" si="7"/>
        <v>0</v>
      </c>
      <c r="L31" s="59" t="str">
        <f t="shared" si="3"/>
        <v>-</v>
      </c>
      <c r="M31" s="786"/>
    </row>
    <row r="32" spans="1:19" ht="143.25" customHeight="1" x14ac:dyDescent="0.3">
      <c r="A32" s="108">
        <v>49120</v>
      </c>
      <c r="B32" s="109" t="s">
        <v>384</v>
      </c>
      <c r="C32" s="210"/>
      <c r="D32" s="210"/>
      <c r="E32" s="210"/>
      <c r="F32" s="210"/>
      <c r="G32" s="708"/>
      <c r="H32" s="63">
        <f t="shared" si="6"/>
        <v>0</v>
      </c>
      <c r="I32" s="59" t="str">
        <f t="shared" si="1"/>
        <v>-</v>
      </c>
      <c r="J32" s="787"/>
      <c r="K32" s="63">
        <f t="shared" si="7"/>
        <v>0</v>
      </c>
      <c r="L32" s="59" t="str">
        <f t="shared" si="3"/>
        <v>-</v>
      </c>
      <c r="M32" s="787"/>
    </row>
    <row r="33" spans="1:13" s="103" customFormat="1" ht="78.75" customHeight="1" x14ac:dyDescent="0.3">
      <c r="A33" s="104">
        <v>49200</v>
      </c>
      <c r="B33" s="114" t="s">
        <v>385</v>
      </c>
      <c r="C33" s="206">
        <f>C34+C35+C36+C37</f>
        <v>12567958</v>
      </c>
      <c r="D33" s="206">
        <f>D34+D35+D36+D37</f>
        <v>12660000</v>
      </c>
      <c r="E33" s="206">
        <f>E34+E35+E36+E37</f>
        <v>12567958</v>
      </c>
      <c r="F33" s="206">
        <f>F34+F35+F36+F37</f>
        <v>12660000</v>
      </c>
      <c r="G33" s="704">
        <f>G34+G35+G36+G37</f>
        <v>13059928</v>
      </c>
      <c r="H33" s="106">
        <f t="shared" si="6"/>
        <v>399928</v>
      </c>
      <c r="I33" s="107">
        <f t="shared" si="1"/>
        <v>3.1589889415481832E-2</v>
      </c>
      <c r="J33" s="785" t="s">
        <v>901</v>
      </c>
      <c r="K33" s="106">
        <f t="shared" si="7"/>
        <v>491970</v>
      </c>
      <c r="L33" s="107">
        <f t="shared" si="3"/>
        <v>3.9144783902046773E-2</v>
      </c>
      <c r="M33" s="785" t="s">
        <v>902</v>
      </c>
    </row>
    <row r="34" spans="1:13" ht="37.5" x14ac:dyDescent="0.3">
      <c r="A34" s="108">
        <v>49210</v>
      </c>
      <c r="B34" s="109" t="s">
        <v>386</v>
      </c>
      <c r="C34" s="210">
        <v>9079597</v>
      </c>
      <c r="D34" s="210">
        <v>9350000</v>
      </c>
      <c r="E34" s="210">
        <v>9079597</v>
      </c>
      <c r="F34" s="210">
        <v>9350000</v>
      </c>
      <c r="G34" s="708">
        <v>9543608</v>
      </c>
      <c r="H34" s="63">
        <f t="shared" si="6"/>
        <v>193608</v>
      </c>
      <c r="I34" s="59">
        <f t="shared" si="1"/>
        <v>2.0706737967914439E-2</v>
      </c>
      <c r="J34" s="786"/>
      <c r="K34" s="63">
        <f t="shared" si="7"/>
        <v>464011</v>
      </c>
      <c r="L34" s="59">
        <f t="shared" si="3"/>
        <v>5.1104801237323638E-2</v>
      </c>
      <c r="M34" s="786"/>
    </row>
    <row r="35" spans="1:13" x14ac:dyDescent="0.3">
      <c r="A35" s="108">
        <v>49220</v>
      </c>
      <c r="B35" s="109" t="s">
        <v>387</v>
      </c>
      <c r="C35" s="210">
        <v>2062147</v>
      </c>
      <c r="D35" s="210">
        <v>2100000</v>
      </c>
      <c r="E35" s="210">
        <v>2062147</v>
      </c>
      <c r="F35" s="210">
        <v>2100000</v>
      </c>
      <c r="G35" s="708">
        <v>2189496</v>
      </c>
      <c r="H35" s="63">
        <f t="shared" si="6"/>
        <v>89496</v>
      </c>
      <c r="I35" s="59">
        <f t="shared" si="1"/>
        <v>4.261714285714286E-2</v>
      </c>
      <c r="J35" s="786"/>
      <c r="K35" s="63">
        <f t="shared" si="7"/>
        <v>127349</v>
      </c>
      <c r="L35" s="59">
        <f t="shared" si="3"/>
        <v>6.1755539251081522E-2</v>
      </c>
      <c r="M35" s="786"/>
    </row>
    <row r="36" spans="1:13" ht="37.5" x14ac:dyDescent="0.3">
      <c r="A36" s="108">
        <v>49230</v>
      </c>
      <c r="B36" s="109" t="s">
        <v>388</v>
      </c>
      <c r="C36" s="210">
        <v>1209930</v>
      </c>
      <c r="D36" s="210">
        <v>1210000</v>
      </c>
      <c r="E36" s="210">
        <v>1209930</v>
      </c>
      <c r="F36" s="210">
        <v>1210000</v>
      </c>
      <c r="G36" s="708">
        <v>1325220</v>
      </c>
      <c r="H36" s="63">
        <f t="shared" si="6"/>
        <v>115220</v>
      </c>
      <c r="I36" s="59">
        <f t="shared" si="1"/>
        <v>9.5223140495867775E-2</v>
      </c>
      <c r="J36" s="786"/>
      <c r="K36" s="63">
        <f t="shared" si="7"/>
        <v>115290</v>
      </c>
      <c r="L36" s="59">
        <f t="shared" si="3"/>
        <v>9.5286504177927653E-2</v>
      </c>
      <c r="M36" s="786"/>
    </row>
    <row r="37" spans="1:13" ht="37.5" x14ac:dyDescent="0.3">
      <c r="A37" s="108">
        <v>49240</v>
      </c>
      <c r="B37" s="109" t="s">
        <v>389</v>
      </c>
      <c r="C37" s="210">
        <v>216284</v>
      </c>
      <c r="D37" s="210">
        <v>0</v>
      </c>
      <c r="E37" s="210">
        <v>216284</v>
      </c>
      <c r="F37" s="210">
        <v>0</v>
      </c>
      <c r="G37" s="708">
        <v>1604</v>
      </c>
      <c r="H37" s="63">
        <f t="shared" si="6"/>
        <v>1604</v>
      </c>
      <c r="I37" s="59" t="str">
        <f t="shared" si="1"/>
        <v>-</v>
      </c>
      <c r="J37" s="786"/>
      <c r="K37" s="63">
        <f t="shared" si="7"/>
        <v>-214680</v>
      </c>
      <c r="L37" s="59">
        <f t="shared" si="3"/>
        <v>-0.99258382497087161</v>
      </c>
      <c r="M37" s="786"/>
    </row>
    <row r="38" spans="1:13" ht="37.5" x14ac:dyDescent="0.3">
      <c r="A38" s="108">
        <v>49250</v>
      </c>
      <c r="B38" s="109" t="s">
        <v>390</v>
      </c>
      <c r="C38" s="210"/>
      <c r="D38" s="210"/>
      <c r="E38" s="210"/>
      <c r="F38" s="210"/>
      <c r="G38" s="708"/>
      <c r="H38" s="63">
        <f t="shared" si="6"/>
        <v>0</v>
      </c>
      <c r="I38" s="59" t="str">
        <f t="shared" si="1"/>
        <v>-</v>
      </c>
      <c r="J38" s="786"/>
      <c r="K38" s="63">
        <f t="shared" si="7"/>
        <v>0</v>
      </c>
      <c r="L38" s="59" t="str">
        <f t="shared" si="3"/>
        <v>-</v>
      </c>
      <c r="M38" s="786"/>
    </row>
    <row r="39" spans="1:13" ht="55.5" customHeight="1" x14ac:dyDescent="0.3">
      <c r="A39" s="108">
        <v>49260</v>
      </c>
      <c r="B39" s="109" t="s">
        <v>391</v>
      </c>
      <c r="C39" s="210"/>
      <c r="D39" s="210"/>
      <c r="E39" s="210"/>
      <c r="F39" s="210"/>
      <c r="G39" s="708"/>
      <c r="H39" s="63">
        <f t="shared" si="6"/>
        <v>0</v>
      </c>
      <c r="I39" s="59" t="str">
        <f t="shared" si="1"/>
        <v>-</v>
      </c>
      <c r="J39" s="787"/>
      <c r="K39" s="63">
        <f t="shared" si="7"/>
        <v>0</v>
      </c>
      <c r="L39" s="59" t="str">
        <f t="shared" si="3"/>
        <v>-</v>
      </c>
      <c r="M39" s="787"/>
    </row>
    <row r="40" spans="1:13" s="103" customFormat="1" ht="37.5" x14ac:dyDescent="0.3">
      <c r="A40" s="104">
        <v>49300</v>
      </c>
      <c r="B40" s="114" t="s">
        <v>392</v>
      </c>
      <c r="C40" s="206">
        <v>0</v>
      </c>
      <c r="D40" s="206">
        <v>0</v>
      </c>
      <c r="E40" s="206">
        <v>0</v>
      </c>
      <c r="F40" s="206">
        <v>0</v>
      </c>
      <c r="G40" s="704"/>
      <c r="H40" s="106">
        <f t="shared" si="6"/>
        <v>0</v>
      </c>
      <c r="I40" s="107" t="str">
        <f t="shared" si="1"/>
        <v>-</v>
      </c>
      <c r="J40" s="790"/>
      <c r="K40" s="106">
        <f t="shared" si="7"/>
        <v>0</v>
      </c>
      <c r="L40" s="107" t="str">
        <f t="shared" si="3"/>
        <v>-</v>
      </c>
      <c r="M40" s="790"/>
    </row>
    <row r="41" spans="1:13" ht="37.5" x14ac:dyDescent="0.3">
      <c r="A41" s="117">
        <v>49310</v>
      </c>
      <c r="B41" s="109" t="s">
        <v>393</v>
      </c>
      <c r="C41" s="210"/>
      <c r="D41" s="210"/>
      <c r="E41" s="210"/>
      <c r="F41" s="210"/>
      <c r="G41" s="708"/>
      <c r="H41" s="63">
        <f t="shared" si="6"/>
        <v>0</v>
      </c>
      <c r="I41" s="59" t="str">
        <f t="shared" si="1"/>
        <v>-</v>
      </c>
      <c r="J41" s="791"/>
      <c r="K41" s="63">
        <f t="shared" si="7"/>
        <v>0</v>
      </c>
      <c r="L41" s="59" t="str">
        <f t="shared" si="3"/>
        <v>-</v>
      </c>
      <c r="M41" s="791"/>
    </row>
    <row r="42" spans="1:13" ht="37.5" x14ac:dyDescent="0.3">
      <c r="A42" s="117">
        <v>49320</v>
      </c>
      <c r="B42" s="109" t="s">
        <v>394</v>
      </c>
      <c r="C42" s="210"/>
      <c r="D42" s="210"/>
      <c r="E42" s="210"/>
      <c r="F42" s="210"/>
      <c r="G42" s="708"/>
      <c r="H42" s="63">
        <f t="shared" si="6"/>
        <v>0</v>
      </c>
      <c r="I42" s="59" t="str">
        <f t="shared" si="1"/>
        <v>-</v>
      </c>
      <c r="J42" s="792"/>
      <c r="K42" s="63">
        <f t="shared" si="7"/>
        <v>0</v>
      </c>
      <c r="L42" s="59" t="str">
        <f t="shared" si="3"/>
        <v>-</v>
      </c>
      <c r="M42" s="792"/>
    </row>
    <row r="43" spans="1:13" s="103" customFormat="1" ht="48" customHeight="1" x14ac:dyDescent="0.3">
      <c r="A43" s="104">
        <v>50000</v>
      </c>
      <c r="B43" s="114" t="s">
        <v>395</v>
      </c>
      <c r="C43" s="206">
        <f>C44+C48+C54</f>
        <v>2329511</v>
      </c>
      <c r="D43" s="206">
        <f t="shared" ref="D43:F43" si="8">D44+D48+D54</f>
        <v>1699761</v>
      </c>
      <c r="E43" s="206">
        <f>E44+E48+E54</f>
        <v>2329511</v>
      </c>
      <c r="F43" s="206">
        <f t="shared" si="8"/>
        <v>1699761</v>
      </c>
      <c r="G43" s="704">
        <f>G44+G48+G54</f>
        <v>2590421</v>
      </c>
      <c r="H43" s="106">
        <f t="shared" si="6"/>
        <v>890660</v>
      </c>
      <c r="I43" s="107">
        <f t="shared" si="1"/>
        <v>0.5239913140729785</v>
      </c>
      <c r="J43" s="425"/>
      <c r="K43" s="106">
        <f t="shared" si="7"/>
        <v>260910</v>
      </c>
      <c r="L43" s="107">
        <f t="shared" si="3"/>
        <v>0.11200204678149191</v>
      </c>
      <c r="M43" s="425"/>
    </row>
    <row r="44" spans="1:13" s="103" customFormat="1" ht="19.5" x14ac:dyDescent="0.3">
      <c r="A44" s="104">
        <v>50100</v>
      </c>
      <c r="B44" s="114" t="s">
        <v>396</v>
      </c>
      <c r="C44" s="206">
        <f>C45+C47</f>
        <v>244562</v>
      </c>
      <c r="D44" s="206">
        <f>D45+D47</f>
        <v>246500</v>
      </c>
      <c r="E44" s="206">
        <f>E45+E47</f>
        <v>244562</v>
      </c>
      <c r="F44" s="206">
        <f>F45+F47</f>
        <v>246500</v>
      </c>
      <c r="G44" s="704">
        <f>G45+G47</f>
        <v>463554</v>
      </c>
      <c r="H44" s="106">
        <f t="shared" si="6"/>
        <v>217054</v>
      </c>
      <c r="I44" s="107">
        <f t="shared" si="1"/>
        <v>0.88054361054766739</v>
      </c>
      <c r="J44" s="785" t="s">
        <v>895</v>
      </c>
      <c r="K44" s="106">
        <f t="shared" si="7"/>
        <v>218992</v>
      </c>
      <c r="L44" s="107">
        <f t="shared" si="3"/>
        <v>0.89544573564167773</v>
      </c>
      <c r="M44" s="785" t="s">
        <v>896</v>
      </c>
    </row>
    <row r="45" spans="1:13" ht="37.5" x14ac:dyDescent="0.3">
      <c r="A45" s="108">
        <v>50110</v>
      </c>
      <c r="B45" s="109" t="s">
        <v>397</v>
      </c>
      <c r="C45" s="210">
        <v>243014</v>
      </c>
      <c r="D45" s="210">
        <v>245000</v>
      </c>
      <c r="E45" s="210">
        <v>243014</v>
      </c>
      <c r="F45" s="210">
        <v>245000</v>
      </c>
      <c r="G45" s="708">
        <v>459245</v>
      </c>
      <c r="H45" s="63">
        <f t="shared" si="6"/>
        <v>214245</v>
      </c>
      <c r="I45" s="59">
        <f t="shared" si="1"/>
        <v>0.87446938775510208</v>
      </c>
      <c r="J45" s="786"/>
      <c r="K45" s="63">
        <f t="shared" si="7"/>
        <v>216231</v>
      </c>
      <c r="L45" s="59">
        <f t="shared" si="3"/>
        <v>0.88978824265268663</v>
      </c>
      <c r="M45" s="786"/>
    </row>
    <row r="46" spans="1:13" ht="37.5" x14ac:dyDescent="0.3">
      <c r="A46" s="108">
        <v>50120</v>
      </c>
      <c r="B46" s="109" t="s">
        <v>398</v>
      </c>
      <c r="C46" s="210"/>
      <c r="D46" s="210"/>
      <c r="E46" s="210"/>
      <c r="F46" s="210"/>
      <c r="G46" s="708">
        <v>0</v>
      </c>
      <c r="H46" s="63">
        <f t="shared" si="6"/>
        <v>0</v>
      </c>
      <c r="I46" s="59" t="str">
        <f t="shared" si="1"/>
        <v>-</v>
      </c>
      <c r="J46" s="786"/>
      <c r="K46" s="63">
        <f t="shared" si="7"/>
        <v>0</v>
      </c>
      <c r="L46" s="59" t="str">
        <f t="shared" si="3"/>
        <v>-</v>
      </c>
      <c r="M46" s="786"/>
    </row>
    <row r="47" spans="1:13" ht="108.75" customHeight="1" x14ac:dyDescent="0.3">
      <c r="A47" s="108">
        <v>50130</v>
      </c>
      <c r="B47" s="109" t="s">
        <v>399</v>
      </c>
      <c r="C47" s="210">
        <v>1548</v>
      </c>
      <c r="D47" s="210">
        <v>1500</v>
      </c>
      <c r="E47" s="210">
        <v>1548</v>
      </c>
      <c r="F47" s="210">
        <v>1500</v>
      </c>
      <c r="G47" s="708">
        <v>4309</v>
      </c>
      <c r="H47" s="63">
        <f t="shared" si="6"/>
        <v>2809</v>
      </c>
      <c r="I47" s="59">
        <f t="shared" si="1"/>
        <v>1.8726666666666667</v>
      </c>
      <c r="J47" s="787"/>
      <c r="K47" s="63">
        <f t="shared" si="7"/>
        <v>2761</v>
      </c>
      <c r="L47" s="59">
        <f t="shared" si="3"/>
        <v>1.7835917312661498</v>
      </c>
      <c r="M47" s="787"/>
    </row>
    <row r="48" spans="1:13" s="103" customFormat="1" ht="19.5" x14ac:dyDescent="0.3">
      <c r="A48" s="104">
        <v>50200</v>
      </c>
      <c r="B48" s="114" t="s">
        <v>400</v>
      </c>
      <c r="C48" s="206">
        <f>C49+C50+C51+C52+C53</f>
        <v>1377671</v>
      </c>
      <c r="D48" s="206">
        <f>D49+D51+D52</f>
        <v>1072299</v>
      </c>
      <c r="E48" s="206">
        <f>E49+E50+E51+E52+E53</f>
        <v>1377671</v>
      </c>
      <c r="F48" s="206">
        <f>F49+F51+F52</f>
        <v>1072299</v>
      </c>
      <c r="G48" s="704">
        <f>G49+G51+G52</f>
        <v>1799082</v>
      </c>
      <c r="H48" s="106">
        <f t="shared" si="6"/>
        <v>726783</v>
      </c>
      <c r="I48" s="107">
        <f t="shared" si="1"/>
        <v>0.67778017138876379</v>
      </c>
      <c r="J48" s="785" t="s">
        <v>903</v>
      </c>
      <c r="K48" s="106">
        <f t="shared" si="7"/>
        <v>421411</v>
      </c>
      <c r="L48" s="107">
        <f t="shared" si="3"/>
        <v>0.30588652878662614</v>
      </c>
      <c r="M48" s="785" t="s">
        <v>904</v>
      </c>
    </row>
    <row r="49" spans="1:16" x14ac:dyDescent="0.3">
      <c r="A49" s="108">
        <v>50210</v>
      </c>
      <c r="B49" s="109" t="s">
        <v>401</v>
      </c>
      <c r="C49" s="210">
        <v>1034387</v>
      </c>
      <c r="D49" s="210">
        <v>1050000</v>
      </c>
      <c r="E49" s="210">
        <v>1034387</v>
      </c>
      <c r="F49" s="210">
        <v>1050000</v>
      </c>
      <c r="G49" s="705">
        <v>1782497</v>
      </c>
      <c r="H49" s="63">
        <f t="shared" si="6"/>
        <v>732497</v>
      </c>
      <c r="I49" s="59">
        <f t="shared" si="1"/>
        <v>0.6976161904761905</v>
      </c>
      <c r="J49" s="786"/>
      <c r="K49" s="63">
        <f t="shared" si="7"/>
        <v>748110</v>
      </c>
      <c r="L49" s="59">
        <f t="shared" si="3"/>
        <v>0.72323994791117829</v>
      </c>
      <c r="M49" s="786"/>
    </row>
    <row r="50" spans="1:16" x14ac:dyDescent="0.3">
      <c r="A50" s="108">
        <v>50220</v>
      </c>
      <c r="B50" s="109" t="s">
        <v>402</v>
      </c>
      <c r="C50" s="210"/>
      <c r="D50" s="210"/>
      <c r="E50" s="210"/>
      <c r="F50" s="210"/>
      <c r="G50" s="708">
        <v>0</v>
      </c>
      <c r="H50" s="63">
        <f t="shared" si="6"/>
        <v>0</v>
      </c>
      <c r="I50" s="59" t="str">
        <f t="shared" si="1"/>
        <v>-</v>
      </c>
      <c r="J50" s="786"/>
      <c r="K50" s="63">
        <f t="shared" si="7"/>
        <v>0</v>
      </c>
      <c r="L50" s="59" t="str">
        <f t="shared" si="3"/>
        <v>-</v>
      </c>
      <c r="M50" s="786"/>
    </row>
    <row r="51" spans="1:16" x14ac:dyDescent="0.3">
      <c r="A51" s="108">
        <v>50230</v>
      </c>
      <c r="B51" s="109" t="s">
        <v>403</v>
      </c>
      <c r="C51" s="210">
        <v>872</v>
      </c>
      <c r="D51" s="210">
        <v>1000</v>
      </c>
      <c r="E51" s="210">
        <v>872</v>
      </c>
      <c r="F51" s="210">
        <v>1000</v>
      </c>
      <c r="G51" s="708">
        <v>872</v>
      </c>
      <c r="H51" s="63">
        <f t="shared" si="6"/>
        <v>-128</v>
      </c>
      <c r="I51" s="59">
        <f t="shared" si="1"/>
        <v>-0.128</v>
      </c>
      <c r="J51" s="786"/>
      <c r="K51" s="63">
        <f t="shared" si="7"/>
        <v>0</v>
      </c>
      <c r="L51" s="59">
        <f t="shared" si="3"/>
        <v>0</v>
      </c>
      <c r="M51" s="786"/>
    </row>
    <row r="52" spans="1:16" x14ac:dyDescent="0.3">
      <c r="A52" s="108">
        <v>50240</v>
      </c>
      <c r="B52" s="109" t="s">
        <v>404</v>
      </c>
      <c r="C52" s="210">
        <v>16091</v>
      </c>
      <c r="D52" s="210">
        <v>21299</v>
      </c>
      <c r="E52" s="210">
        <v>16091</v>
      </c>
      <c r="F52" s="210">
        <v>21299</v>
      </c>
      <c r="G52" s="708">
        <v>15713</v>
      </c>
      <c r="H52" s="63">
        <f t="shared" si="6"/>
        <v>-5586</v>
      </c>
      <c r="I52" s="59">
        <f t="shared" si="1"/>
        <v>-0.26226583407671722</v>
      </c>
      <c r="J52" s="786"/>
      <c r="K52" s="63">
        <f t="shared" si="7"/>
        <v>-378</v>
      </c>
      <c r="L52" s="59">
        <f t="shared" si="3"/>
        <v>-2.3491392703996021E-2</v>
      </c>
      <c r="M52" s="786"/>
    </row>
    <row r="53" spans="1:16" ht="96" customHeight="1" x14ac:dyDescent="0.3">
      <c r="A53" s="108">
        <v>50250</v>
      </c>
      <c r="B53" s="109" t="s">
        <v>405</v>
      </c>
      <c r="C53" s="210">
        <v>326321</v>
      </c>
      <c r="D53" s="210"/>
      <c r="E53" s="210">
        <v>326321</v>
      </c>
      <c r="F53" s="210"/>
      <c r="G53" s="708"/>
      <c r="H53" s="63">
        <f t="shared" si="6"/>
        <v>0</v>
      </c>
      <c r="I53" s="59" t="str">
        <f t="shared" si="1"/>
        <v>-</v>
      </c>
      <c r="J53" s="787"/>
      <c r="K53" s="63">
        <f t="shared" si="7"/>
        <v>-326321</v>
      </c>
      <c r="L53" s="59">
        <f t="shared" si="3"/>
        <v>-1</v>
      </c>
      <c r="M53" s="787"/>
    </row>
    <row r="54" spans="1:16" ht="168" customHeight="1" x14ac:dyDescent="0.3">
      <c r="A54" s="104">
        <v>50300</v>
      </c>
      <c r="B54" s="114" t="s">
        <v>406</v>
      </c>
      <c r="C54" s="209">
        <v>707278</v>
      </c>
      <c r="D54" s="209">
        <v>380962</v>
      </c>
      <c r="E54" s="209">
        <v>707278</v>
      </c>
      <c r="F54" s="209">
        <v>380962</v>
      </c>
      <c r="G54" s="707">
        <v>327785</v>
      </c>
      <c r="H54" s="62">
        <f t="shared" si="6"/>
        <v>-53177</v>
      </c>
      <c r="I54" s="115">
        <f t="shared" si="1"/>
        <v>-0.13958610045096362</v>
      </c>
      <c r="J54" s="702" t="s">
        <v>889</v>
      </c>
      <c r="K54" s="62">
        <f t="shared" si="7"/>
        <v>-379493</v>
      </c>
      <c r="L54" s="115">
        <f t="shared" si="3"/>
        <v>-0.53655422620242677</v>
      </c>
      <c r="M54" s="703" t="s">
        <v>890</v>
      </c>
    </row>
    <row r="55" spans="1:16" s="103" customFormat="1" ht="37.5" x14ac:dyDescent="0.3">
      <c r="A55" s="104">
        <v>51000</v>
      </c>
      <c r="B55" s="114" t="s">
        <v>407</v>
      </c>
      <c r="C55" s="206">
        <f>C29+C43</f>
        <v>14952081</v>
      </c>
      <c r="D55" s="206">
        <f>D29+D43</f>
        <v>14414373</v>
      </c>
      <c r="E55" s="206">
        <f>E29+E43</f>
        <v>14952081</v>
      </c>
      <c r="F55" s="206">
        <f>F29+F43</f>
        <v>14414373</v>
      </c>
      <c r="G55" s="704">
        <f>G29+G43</f>
        <v>15716023</v>
      </c>
      <c r="H55" s="106">
        <f t="shared" si="6"/>
        <v>1301650</v>
      </c>
      <c r="I55" s="107">
        <f t="shared" si="1"/>
        <v>9.0302228199589399E-2</v>
      </c>
      <c r="J55" s="425"/>
      <c r="K55" s="106">
        <f t="shared" si="7"/>
        <v>763942</v>
      </c>
      <c r="L55" s="107">
        <f t="shared" si="3"/>
        <v>5.1092687365725212E-2</v>
      </c>
      <c r="M55" s="425"/>
      <c r="P55" s="315"/>
    </row>
    <row r="56" spans="1:16" x14ac:dyDescent="0.3">
      <c r="A56" s="793"/>
      <c r="B56" s="794"/>
      <c r="C56" s="794"/>
      <c r="D56" s="794"/>
      <c r="E56" s="794"/>
      <c r="F56" s="794"/>
      <c r="G56" s="794"/>
      <c r="H56" s="794"/>
      <c r="I56" s="794"/>
      <c r="J56" s="794"/>
      <c r="K56" s="794"/>
      <c r="L56" s="794"/>
      <c r="M56" s="794"/>
      <c r="P56" s="314"/>
    </row>
    <row r="57" spans="1:16" s="103" customFormat="1" ht="37.5" x14ac:dyDescent="0.3">
      <c r="A57" s="104" t="s">
        <v>309</v>
      </c>
      <c r="B57" s="114" t="s">
        <v>408</v>
      </c>
      <c r="C57" s="206">
        <f>C58+C59</f>
        <v>8117211</v>
      </c>
      <c r="D57" s="206">
        <f>D58+D59</f>
        <v>7909958</v>
      </c>
      <c r="E57" s="206">
        <f>E58+E59</f>
        <v>8117211</v>
      </c>
      <c r="F57" s="206">
        <f>F58+F59</f>
        <v>7909958</v>
      </c>
      <c r="G57" s="704">
        <f>G58+G59</f>
        <v>8720264</v>
      </c>
      <c r="H57" s="106">
        <f t="shared" ref="H57:H59" si="9">G57-F57</f>
        <v>810306</v>
      </c>
      <c r="I57" s="107">
        <f t="shared" si="1"/>
        <v>0.10244125190045257</v>
      </c>
      <c r="J57" s="425"/>
      <c r="K57" s="106">
        <f t="shared" ref="K57:K59" si="10">G57-E57</f>
        <v>603053</v>
      </c>
      <c r="L57" s="107">
        <f t="shared" si="3"/>
        <v>7.4293128514215045E-2</v>
      </c>
      <c r="M57" s="425"/>
      <c r="P57" s="315"/>
    </row>
    <row r="58" spans="1:16" s="103" customFormat="1" ht="37.5" x14ac:dyDescent="0.3">
      <c r="A58" s="104">
        <v>21000</v>
      </c>
      <c r="B58" s="118" t="s">
        <v>409</v>
      </c>
      <c r="C58" s="206">
        <f t="shared" ref="C58:G58" si="11">C11</f>
        <v>5930401</v>
      </c>
      <c r="D58" s="206">
        <f t="shared" si="11"/>
        <v>5677211</v>
      </c>
      <c r="E58" s="206">
        <f t="shared" si="11"/>
        <v>5930401</v>
      </c>
      <c r="F58" s="206">
        <f t="shared" si="11"/>
        <v>5677211</v>
      </c>
      <c r="G58" s="704">
        <f t="shared" si="11"/>
        <v>5857968</v>
      </c>
      <c r="H58" s="106">
        <f t="shared" si="9"/>
        <v>180757</v>
      </c>
      <c r="I58" s="107">
        <f t="shared" si="1"/>
        <v>3.1839049138740833E-2</v>
      </c>
      <c r="J58" s="425"/>
      <c r="K58" s="106">
        <f t="shared" si="10"/>
        <v>-72433</v>
      </c>
      <c r="L58" s="107">
        <f t="shared" si="3"/>
        <v>-1.2213845235760617E-2</v>
      </c>
      <c r="M58" s="425"/>
      <c r="P58" s="315"/>
    </row>
    <row r="59" spans="1:16" s="103" customFormat="1" ht="19.5" x14ac:dyDescent="0.3">
      <c r="A59" s="104">
        <v>22000</v>
      </c>
      <c r="B59" s="119" t="s">
        <v>410</v>
      </c>
      <c r="C59" s="206">
        <f>C18</f>
        <v>2186810</v>
      </c>
      <c r="D59" s="206">
        <f>D18</f>
        <v>2232747</v>
      </c>
      <c r="E59" s="206">
        <f>E18</f>
        <v>2186810</v>
      </c>
      <c r="F59" s="206">
        <f>F18</f>
        <v>2232747</v>
      </c>
      <c r="G59" s="704">
        <f>G18</f>
        <v>2862296</v>
      </c>
      <c r="H59" s="106">
        <f t="shared" si="9"/>
        <v>629549</v>
      </c>
      <c r="I59" s="107">
        <f t="shared" si="1"/>
        <v>0.28196163739107027</v>
      </c>
      <c r="J59" s="425"/>
      <c r="K59" s="106">
        <f t="shared" si="10"/>
        <v>675486</v>
      </c>
      <c r="L59" s="107">
        <f t="shared" si="3"/>
        <v>0.30889103305728438</v>
      </c>
      <c r="M59" s="425"/>
      <c r="P59" s="315"/>
    </row>
    <row r="60" spans="1:16" s="103" customFormat="1" ht="19.5" x14ac:dyDescent="0.3">
      <c r="A60" s="120"/>
      <c r="B60" s="121"/>
      <c r="C60" s="122"/>
      <c r="D60" s="9"/>
      <c r="E60" s="122"/>
      <c r="F60" s="122"/>
      <c r="G60" s="122"/>
      <c r="H60" s="123"/>
      <c r="I60" s="124"/>
      <c r="J60" s="426"/>
      <c r="K60" s="123"/>
      <c r="L60" s="124"/>
      <c r="M60" s="426"/>
      <c r="P60" s="315"/>
    </row>
    <row r="61" spans="1:16" x14ac:dyDescent="0.3">
      <c r="A61" s="103" t="s">
        <v>544</v>
      </c>
      <c r="P61" s="314"/>
    </row>
    <row r="62" spans="1:16" ht="22.5" x14ac:dyDescent="0.3">
      <c r="A62" s="125" t="s">
        <v>605</v>
      </c>
    </row>
    <row r="63" spans="1:16" x14ac:dyDescent="0.3">
      <c r="A63" s="4" t="s">
        <v>604</v>
      </c>
    </row>
    <row r="68" spans="8:8" ht="53.25" customHeight="1" x14ac:dyDescent="0.3"/>
    <row r="69" spans="8:8" x14ac:dyDescent="0.3">
      <c r="H69" s="535"/>
    </row>
    <row r="72" spans="8:8" ht="2.25" customHeight="1" x14ac:dyDescent="0.3"/>
  </sheetData>
  <sheetProtection formatCells="0" formatColumns="0" formatRows="0"/>
  <mergeCells count="16">
    <mergeCell ref="J44:J47"/>
    <mergeCell ref="M44:M47"/>
    <mergeCell ref="J48:J53"/>
    <mergeCell ref="M48:M53"/>
    <mergeCell ref="A56:M56"/>
    <mergeCell ref="J30:J32"/>
    <mergeCell ref="M30:M32"/>
    <mergeCell ref="J33:J39"/>
    <mergeCell ref="M33:M39"/>
    <mergeCell ref="J40:J42"/>
    <mergeCell ref="M40:M42"/>
    <mergeCell ref="J11:J17"/>
    <mergeCell ref="M11:M17"/>
    <mergeCell ref="J18:J26"/>
    <mergeCell ref="M18:M26"/>
    <mergeCell ref="A28:M28"/>
  </mergeCells>
  <pageMargins left="0.70866141732283472" right="0.70866141732283472" top="0.74803149606299213" bottom="0.74803149606299213" header="0.31496062992125984" footer="0.31496062992125984"/>
  <pageSetup paperSize="9" scale="29" fitToHeight="0" orientation="portrait" r:id="rId1"/>
  <headerFooter>
    <oddHeader>&amp;C&amp;"Times New Roman,Bold"&amp;14
Bilance&amp;R&amp;"Times New Roman,Regular"&amp;14 3.pielikums</oddHeader>
    <oddFooter>&amp;C&amp;"Times New Roman,Regular"&amp;12&amp;F&amp;R&amp;"Times New Roman,Regular"&amp;12&amp;P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4">
    <tabColor rgb="FF92D050"/>
  </sheetPr>
  <dimension ref="A1:P157"/>
  <sheetViews>
    <sheetView topLeftCell="A41" zoomScale="90" zoomScaleNormal="90" zoomScalePageLayoutView="40" workbookViewId="0">
      <selection activeCell="G135" sqref="G135:G139"/>
    </sheetView>
  </sheetViews>
  <sheetFormatPr defaultRowHeight="16.5" x14ac:dyDescent="0.2"/>
  <cols>
    <col min="1" max="1" width="8.42578125" style="525" bestFit="1" customWidth="1"/>
    <col min="2" max="2" width="42" style="433" customWidth="1"/>
    <col min="3" max="3" width="15.7109375" style="523" customWidth="1"/>
    <col min="4" max="4" width="15" style="433" customWidth="1"/>
    <col min="5" max="5" width="20.85546875" style="533" customWidth="1"/>
    <col min="6" max="6" width="15" style="433" customWidth="1"/>
    <col min="7" max="7" width="18.42578125" style="533" customWidth="1"/>
    <col min="8" max="8" width="18.7109375" style="440" customWidth="1"/>
    <col min="9" max="9" width="21.5703125" style="440" customWidth="1"/>
    <col min="10" max="10" width="42.85546875" style="433" customWidth="1"/>
    <col min="11" max="11" width="21.140625" style="440" customWidth="1"/>
    <col min="12" max="12" width="18.85546875" style="440" customWidth="1"/>
    <col min="13" max="13" width="46.7109375" style="433" customWidth="1"/>
    <col min="14" max="14" width="55.42578125" style="433" customWidth="1"/>
    <col min="15" max="15" width="17.28515625" style="433" bestFit="1" customWidth="1"/>
    <col min="16" max="16" width="12.140625" style="433" bestFit="1" customWidth="1"/>
    <col min="17" max="16384" width="9.140625" style="433"/>
  </cols>
  <sheetData>
    <row r="1" spans="1:16" ht="115.5" x14ac:dyDescent="0.2">
      <c r="A1" s="428" t="s">
        <v>0</v>
      </c>
      <c r="B1" s="564" t="s">
        <v>465</v>
      </c>
      <c r="C1" s="565" t="s">
        <v>687</v>
      </c>
      <c r="D1" s="565" t="s">
        <v>688</v>
      </c>
      <c r="E1" s="565" t="s">
        <v>780</v>
      </c>
      <c r="F1" s="565" t="s">
        <v>777</v>
      </c>
      <c r="G1" s="565" t="s">
        <v>779</v>
      </c>
      <c r="H1" s="566" t="s">
        <v>689</v>
      </c>
      <c r="I1" s="430" t="s">
        <v>684</v>
      </c>
      <c r="J1" s="429" t="s">
        <v>756</v>
      </c>
      <c r="K1" s="430" t="s">
        <v>690</v>
      </c>
      <c r="L1" s="430" t="s">
        <v>686</v>
      </c>
      <c r="M1" s="431" t="s">
        <v>756</v>
      </c>
      <c r="N1" s="432"/>
    </row>
    <row r="2" spans="1:16" x14ac:dyDescent="0.2">
      <c r="A2" s="434">
        <v>1</v>
      </c>
      <c r="B2" s="565">
        <v>2</v>
      </c>
      <c r="C2" s="567">
        <v>3</v>
      </c>
      <c r="D2" s="565">
        <v>4</v>
      </c>
      <c r="E2" s="567">
        <v>5</v>
      </c>
      <c r="F2" s="565">
        <v>6</v>
      </c>
      <c r="G2" s="567">
        <v>7</v>
      </c>
      <c r="H2" s="565">
        <v>8</v>
      </c>
      <c r="I2" s="434">
        <v>9</v>
      </c>
      <c r="J2" s="429">
        <v>10</v>
      </c>
      <c r="K2" s="434">
        <v>11</v>
      </c>
      <c r="L2" s="429">
        <v>12</v>
      </c>
      <c r="M2" s="434">
        <v>13</v>
      </c>
    </row>
    <row r="3" spans="1:16" ht="33" x14ac:dyDescent="0.2">
      <c r="A3" s="435">
        <v>10000</v>
      </c>
      <c r="B3" s="568" t="s">
        <v>182</v>
      </c>
      <c r="C3" s="569">
        <v>1845934</v>
      </c>
      <c r="D3" s="570">
        <v>707277.83999999391</v>
      </c>
      <c r="E3" s="571">
        <v>1845934</v>
      </c>
      <c r="F3" s="570">
        <v>707277.83999999403</v>
      </c>
      <c r="G3" s="571">
        <v>707278.31</v>
      </c>
      <c r="H3" s="572">
        <f>G3-F3</f>
        <v>0.47000000602565706</v>
      </c>
      <c r="I3" s="437">
        <f>IFERROR(H3/ABS(F3), "-")</f>
        <v>6.6451962643939336E-7</v>
      </c>
      <c r="J3" s="438"/>
      <c r="K3" s="436">
        <f>G3-E3</f>
        <v>-1138655.69</v>
      </c>
      <c r="L3" s="437">
        <f>IFERROR(K3/ABS(E3), "-")</f>
        <v>-0.61684528807638839</v>
      </c>
      <c r="M3" s="438"/>
    </row>
    <row r="4" spans="1:16" x14ac:dyDescent="0.2">
      <c r="A4" s="439" t="s">
        <v>191</v>
      </c>
      <c r="B4" s="798" t="s">
        <v>183</v>
      </c>
      <c r="C4" s="798"/>
      <c r="D4" s="798"/>
      <c r="E4" s="798"/>
      <c r="F4" s="798"/>
      <c r="G4" s="798"/>
      <c r="H4" s="798"/>
      <c r="J4" s="441"/>
      <c r="L4" s="442"/>
      <c r="M4" s="441"/>
    </row>
    <row r="5" spans="1:16" ht="17.25" x14ac:dyDescent="0.2">
      <c r="A5" s="443">
        <v>11000</v>
      </c>
      <c r="B5" s="568" t="s">
        <v>184</v>
      </c>
      <c r="C5" s="569">
        <f>C6+C24+C27+C31+C32+C33</f>
        <v>21860042.589999996</v>
      </c>
      <c r="D5" s="569">
        <f t="shared" ref="D5:F5" si="0">D6+D24+D27+D31+D32+D33</f>
        <v>23370780.095100001</v>
      </c>
      <c r="E5" s="569">
        <f>E6+E24+E27+E31+E32+E33</f>
        <v>21860042.589999996</v>
      </c>
      <c r="F5" s="569">
        <f t="shared" si="0"/>
        <v>23370780.095100001</v>
      </c>
      <c r="G5" s="573">
        <f>G6+G24+G27+G31+G32+G33</f>
        <v>24163597.709999997</v>
      </c>
      <c r="H5" s="574">
        <f t="shared" ref="H5:H45" si="1">G5-F5</f>
        <v>792817.61489999667</v>
      </c>
      <c r="I5" s="445">
        <f t="shared" ref="I5:I68" si="2">IFERROR(H5/ABS(F5), "-")</f>
        <v>3.3923455343547626E-2</v>
      </c>
      <c r="J5" s="446"/>
      <c r="K5" s="444">
        <f t="shared" ref="K5:K68" si="3">G5-E5</f>
        <v>2303555.120000001</v>
      </c>
      <c r="L5" s="445">
        <f t="shared" ref="L5:L68" si="4">IFERROR(K5/ABS(E5), "-")</f>
        <v>0.10537743055696404</v>
      </c>
      <c r="M5" s="446"/>
      <c r="P5" s="447"/>
    </row>
    <row r="6" spans="1:16" ht="17.25" x14ac:dyDescent="0.2">
      <c r="A6" s="448">
        <v>11100</v>
      </c>
      <c r="B6" s="575" t="s">
        <v>185</v>
      </c>
      <c r="C6" s="573">
        <f t="shared" ref="C6:E6" si="5">C7+C12+C15+C18+C23</f>
        <v>19801756.43</v>
      </c>
      <c r="D6" s="573">
        <f>D7+D12+D15+D18+D23</f>
        <v>20930893.448600002</v>
      </c>
      <c r="E6" s="573">
        <f t="shared" si="5"/>
        <v>19801756.43</v>
      </c>
      <c r="F6" s="573">
        <f>F7+F12+F15+F18+F23</f>
        <v>20930893.448600002</v>
      </c>
      <c r="G6" s="573">
        <f>G7+G12+G15+G18+G23</f>
        <v>21750134.769999996</v>
      </c>
      <c r="H6" s="574">
        <f t="shared" si="1"/>
        <v>819241.32139999419</v>
      </c>
      <c r="I6" s="445">
        <f t="shared" si="2"/>
        <v>3.9140293911093915E-2</v>
      </c>
      <c r="J6" s="446"/>
      <c r="K6" s="444">
        <f t="shared" si="3"/>
        <v>1948378.3399999961</v>
      </c>
      <c r="L6" s="445">
        <f t="shared" si="4"/>
        <v>9.8394218052706151E-2</v>
      </c>
      <c r="M6" s="446"/>
      <c r="P6" s="447"/>
    </row>
    <row r="7" spans="1:16" s="450" customFormat="1" ht="37.5" customHeight="1" x14ac:dyDescent="0.2">
      <c r="A7" s="448">
        <v>11110</v>
      </c>
      <c r="B7" s="575" t="s">
        <v>120</v>
      </c>
      <c r="C7" s="573">
        <f>SUM(C8:C11)</f>
        <v>19061688.870000001</v>
      </c>
      <c r="D7" s="573">
        <f t="shared" ref="D7:F7" si="6">SUM(D8:D11)</f>
        <v>20123731</v>
      </c>
      <c r="E7" s="573">
        <f>SUM(E8:E11)</f>
        <v>19061688.870000001</v>
      </c>
      <c r="F7" s="573">
        <f t="shared" si="6"/>
        <v>20123731</v>
      </c>
      <c r="G7" s="573">
        <f>SUM(G8:G11)</f>
        <v>20929451.749999996</v>
      </c>
      <c r="H7" s="574">
        <f t="shared" si="1"/>
        <v>805720.74999999627</v>
      </c>
      <c r="I7" s="445">
        <f>IFERROR(H7/ABS(F7), "-")</f>
        <v>4.0038338318078105E-2</v>
      </c>
      <c r="J7" s="449"/>
      <c r="K7" s="444">
        <f t="shared" si="3"/>
        <v>1867762.8799999952</v>
      </c>
      <c r="L7" s="445">
        <f>IFERROR(K7/ABS(E7), "-")</f>
        <v>9.7985172916107671E-2</v>
      </c>
      <c r="M7" s="449"/>
      <c r="P7" s="447"/>
    </row>
    <row r="8" spans="1:16" x14ac:dyDescent="0.2">
      <c r="A8" s="451">
        <v>11111</v>
      </c>
      <c r="B8" s="576" t="s">
        <v>4</v>
      </c>
      <c r="C8" s="577">
        <v>17766591.73</v>
      </c>
      <c r="D8" s="578">
        <v>18497761</v>
      </c>
      <c r="E8" s="577">
        <v>17766591.73</v>
      </c>
      <c r="F8" s="578">
        <v>18497761</v>
      </c>
      <c r="G8" s="579">
        <f>19365961.72</f>
        <v>19365961.719999999</v>
      </c>
      <c r="H8" s="580">
        <f>G8-F8</f>
        <v>868200.71999999881</v>
      </c>
      <c r="I8" s="453">
        <f>IFERROR(H8/ABS(F8), "-")</f>
        <v>4.6935449106516126E-2</v>
      </c>
      <c r="J8" s="454"/>
      <c r="K8" s="452">
        <f t="shared" si="3"/>
        <v>1599369.9899999984</v>
      </c>
      <c r="L8" s="453">
        <f t="shared" si="4"/>
        <v>9.0021204646660635E-2</v>
      </c>
      <c r="M8" s="527" t="s">
        <v>783</v>
      </c>
      <c r="P8" s="447"/>
    </row>
    <row r="9" spans="1:16" ht="156" customHeight="1" x14ac:dyDescent="0.2">
      <c r="A9" s="451">
        <v>11112</v>
      </c>
      <c r="B9" s="576" t="s">
        <v>5</v>
      </c>
      <c r="C9" s="577">
        <v>48474.57</v>
      </c>
      <c r="D9" s="578">
        <v>62888</v>
      </c>
      <c r="E9" s="577">
        <v>48474.57</v>
      </c>
      <c r="F9" s="578">
        <v>62888</v>
      </c>
      <c r="G9" s="579">
        <v>86504.83</v>
      </c>
      <c r="H9" s="580">
        <f t="shared" si="1"/>
        <v>23616.83</v>
      </c>
      <c r="I9" s="453">
        <f t="shared" si="2"/>
        <v>0.37553794046558964</v>
      </c>
      <c r="J9" s="527" t="s">
        <v>741</v>
      </c>
      <c r="K9" s="452">
        <f t="shared" si="3"/>
        <v>38030.26</v>
      </c>
      <c r="L9" s="453">
        <f t="shared" si="4"/>
        <v>0.78454043016781794</v>
      </c>
      <c r="M9" s="527" t="s">
        <v>742</v>
      </c>
      <c r="P9" s="447"/>
    </row>
    <row r="10" spans="1:16" ht="82.5" x14ac:dyDescent="0.2">
      <c r="A10" s="451">
        <v>11113</v>
      </c>
      <c r="B10" s="576" t="s">
        <v>6</v>
      </c>
      <c r="C10" s="577">
        <v>1242157.07</v>
      </c>
      <c r="D10" s="578">
        <v>1531311</v>
      </c>
      <c r="E10" s="577">
        <v>1242157.07</v>
      </c>
      <c r="F10" s="578">
        <v>1531311</v>
      </c>
      <c r="G10" s="579">
        <v>1465169.36</v>
      </c>
      <c r="H10" s="580">
        <f t="shared" si="1"/>
        <v>-66141.639999999898</v>
      </c>
      <c r="I10" s="453">
        <f t="shared" si="2"/>
        <v>-4.3192819747262245E-2</v>
      </c>
      <c r="J10" s="494"/>
      <c r="K10" s="452">
        <f t="shared" si="3"/>
        <v>223012.29000000004</v>
      </c>
      <c r="L10" s="453">
        <f t="shared" si="4"/>
        <v>0.17953630453514227</v>
      </c>
      <c r="M10" s="527" t="s">
        <v>743</v>
      </c>
      <c r="P10" s="447"/>
    </row>
    <row r="11" spans="1:16" ht="90" customHeight="1" x14ac:dyDescent="0.2">
      <c r="A11" s="451">
        <v>11114</v>
      </c>
      <c r="B11" s="576" t="s">
        <v>300</v>
      </c>
      <c r="C11" s="577">
        <v>4465.5</v>
      </c>
      <c r="D11" s="578">
        <v>31771</v>
      </c>
      <c r="E11" s="577">
        <v>4465.5</v>
      </c>
      <c r="F11" s="578">
        <v>31771</v>
      </c>
      <c r="G11" s="579">
        <v>11815.84</v>
      </c>
      <c r="H11" s="580">
        <f t="shared" si="1"/>
        <v>-19955.16</v>
      </c>
      <c r="I11" s="453">
        <f t="shared" si="2"/>
        <v>-0.62809354442730791</v>
      </c>
      <c r="J11" s="527" t="s">
        <v>745</v>
      </c>
      <c r="K11" s="452">
        <f t="shared" si="3"/>
        <v>7350.34</v>
      </c>
      <c r="L11" s="453">
        <f t="shared" si="4"/>
        <v>1.6460284402642482</v>
      </c>
      <c r="M11" s="527" t="s">
        <v>742</v>
      </c>
      <c r="P11" s="447"/>
    </row>
    <row r="12" spans="1:16" s="455" customFormat="1" ht="33" x14ac:dyDescent="0.2">
      <c r="A12" s="448">
        <v>11120</v>
      </c>
      <c r="B12" s="581" t="s">
        <v>126</v>
      </c>
      <c r="C12" s="573">
        <f t="shared" ref="C12:E12" si="7">SUM(C13:C14)</f>
        <v>0</v>
      </c>
      <c r="D12" s="573"/>
      <c r="E12" s="573">
        <f t="shared" si="7"/>
        <v>0</v>
      </c>
      <c r="F12" s="573"/>
      <c r="G12" s="573">
        <f t="shared" ref="G12" si="8">SUM(G13:G14)</f>
        <v>0</v>
      </c>
      <c r="H12" s="574">
        <f t="shared" si="1"/>
        <v>0</v>
      </c>
      <c r="I12" s="445" t="str">
        <f t="shared" si="2"/>
        <v>-</v>
      </c>
      <c r="J12" s="801"/>
      <c r="K12" s="444">
        <f t="shared" si="3"/>
        <v>0</v>
      </c>
      <c r="L12" s="445" t="str">
        <f t="shared" si="4"/>
        <v>-</v>
      </c>
      <c r="M12" s="801"/>
      <c r="P12" s="447"/>
    </row>
    <row r="13" spans="1:16" x14ac:dyDescent="0.2">
      <c r="A13" s="451">
        <v>11121</v>
      </c>
      <c r="B13" s="576" t="s">
        <v>128</v>
      </c>
      <c r="C13" s="579"/>
      <c r="D13" s="578"/>
      <c r="E13" s="579"/>
      <c r="F13" s="578"/>
      <c r="G13" s="579"/>
      <c r="H13" s="580">
        <f t="shared" si="1"/>
        <v>0</v>
      </c>
      <c r="I13" s="453" t="str">
        <f t="shared" si="2"/>
        <v>-</v>
      </c>
      <c r="J13" s="802"/>
      <c r="K13" s="452">
        <f t="shared" si="3"/>
        <v>0</v>
      </c>
      <c r="L13" s="453" t="str">
        <f t="shared" si="4"/>
        <v>-</v>
      </c>
      <c r="M13" s="802"/>
      <c r="P13" s="447"/>
    </row>
    <row r="14" spans="1:16" x14ac:dyDescent="0.2">
      <c r="A14" s="451">
        <v>11122</v>
      </c>
      <c r="B14" s="576" t="s">
        <v>130</v>
      </c>
      <c r="C14" s="579"/>
      <c r="D14" s="578"/>
      <c r="E14" s="579"/>
      <c r="F14" s="578"/>
      <c r="G14" s="579"/>
      <c r="H14" s="580">
        <f t="shared" si="1"/>
        <v>0</v>
      </c>
      <c r="I14" s="453" t="str">
        <f t="shared" si="2"/>
        <v>-</v>
      </c>
      <c r="J14" s="803"/>
      <c r="K14" s="452">
        <f t="shared" si="3"/>
        <v>0</v>
      </c>
      <c r="L14" s="453" t="str">
        <f t="shared" si="4"/>
        <v>-</v>
      </c>
      <c r="M14" s="803"/>
      <c r="P14" s="447"/>
    </row>
    <row r="15" spans="1:16" s="455" customFormat="1" ht="37.5" customHeight="1" x14ac:dyDescent="0.2">
      <c r="A15" s="448">
        <v>11130</v>
      </c>
      <c r="B15" s="581" t="s">
        <v>132</v>
      </c>
      <c r="C15" s="573">
        <f t="shared" ref="C15:G15" si="9">SUM(C16:C17)</f>
        <v>740067.56</v>
      </c>
      <c r="D15" s="573">
        <f t="shared" si="9"/>
        <v>807162.44859999989</v>
      </c>
      <c r="E15" s="573">
        <f t="shared" ref="E15:F15" si="10">SUM(E16:E17)</f>
        <v>740067.56</v>
      </c>
      <c r="F15" s="573">
        <f t="shared" si="10"/>
        <v>807162.44859999989</v>
      </c>
      <c r="G15" s="573">
        <f t="shared" si="9"/>
        <v>820683.02</v>
      </c>
      <c r="H15" s="574">
        <f t="shared" si="1"/>
        <v>13520.571400000132</v>
      </c>
      <c r="I15" s="445">
        <f t="shared" si="2"/>
        <v>1.6750743822945648E-2</v>
      </c>
      <c r="J15" s="807"/>
      <c r="K15" s="444">
        <f t="shared" si="3"/>
        <v>80615.459999999963</v>
      </c>
      <c r="L15" s="445">
        <f t="shared" si="4"/>
        <v>0.10892986580846749</v>
      </c>
      <c r="M15" s="810" t="s">
        <v>744</v>
      </c>
      <c r="P15" s="447"/>
    </row>
    <row r="16" spans="1:16" ht="96" customHeight="1" x14ac:dyDescent="0.2">
      <c r="A16" s="451">
        <v>11131</v>
      </c>
      <c r="B16" s="576" t="s">
        <v>134</v>
      </c>
      <c r="C16" s="577">
        <v>740067.56</v>
      </c>
      <c r="D16" s="578">
        <v>807162.44859999989</v>
      </c>
      <c r="E16" s="577">
        <v>740067.56</v>
      </c>
      <c r="F16" s="578">
        <v>807162.44859999989</v>
      </c>
      <c r="G16" s="579">
        <f>880+819803.02</f>
        <v>820683.02</v>
      </c>
      <c r="H16" s="580">
        <f t="shared" si="1"/>
        <v>13520.571400000132</v>
      </c>
      <c r="I16" s="453">
        <f t="shared" si="2"/>
        <v>1.6750743822945648E-2</v>
      </c>
      <c r="J16" s="808"/>
      <c r="K16" s="452">
        <f>G16-E16</f>
        <v>80615.459999999963</v>
      </c>
      <c r="L16" s="453">
        <f>IFERROR(K16/ABS(E16), "-")</f>
        <v>0.10892986580846749</v>
      </c>
      <c r="M16" s="811"/>
      <c r="P16" s="447"/>
    </row>
    <row r="17" spans="1:16" ht="33" x14ac:dyDescent="0.2">
      <c r="A17" s="451">
        <v>11132</v>
      </c>
      <c r="B17" s="576" t="s">
        <v>10</v>
      </c>
      <c r="C17" s="579"/>
      <c r="D17" s="578"/>
      <c r="E17" s="579"/>
      <c r="F17" s="578"/>
      <c r="G17" s="579"/>
      <c r="H17" s="580">
        <f t="shared" si="1"/>
        <v>0</v>
      </c>
      <c r="I17" s="453" t="str">
        <f t="shared" si="2"/>
        <v>-</v>
      </c>
      <c r="J17" s="809"/>
      <c r="K17" s="452">
        <f t="shared" si="3"/>
        <v>0</v>
      </c>
      <c r="L17" s="453" t="str">
        <f t="shared" si="4"/>
        <v>-</v>
      </c>
      <c r="M17" s="812"/>
      <c r="P17" s="447"/>
    </row>
    <row r="18" spans="1:16" s="455" customFormat="1" ht="17.25" x14ac:dyDescent="0.2">
      <c r="A18" s="448">
        <v>11140</v>
      </c>
      <c r="B18" s="581" t="s">
        <v>107</v>
      </c>
      <c r="C18" s="573">
        <f t="shared" ref="C18:E18" si="11">SUM(C19:C22)</f>
        <v>0</v>
      </c>
      <c r="D18" s="573"/>
      <c r="E18" s="573">
        <f t="shared" si="11"/>
        <v>0</v>
      </c>
      <c r="F18" s="573"/>
      <c r="G18" s="573">
        <f t="shared" ref="G18" si="12">SUM(G19:G22)</f>
        <v>0</v>
      </c>
      <c r="H18" s="574">
        <f t="shared" si="1"/>
        <v>0</v>
      </c>
      <c r="I18" s="445" t="str">
        <f t="shared" si="2"/>
        <v>-</v>
      </c>
      <c r="J18" s="801"/>
      <c r="K18" s="444">
        <f t="shared" si="3"/>
        <v>0</v>
      </c>
      <c r="L18" s="445" t="str">
        <f t="shared" si="4"/>
        <v>-</v>
      </c>
      <c r="M18" s="801"/>
      <c r="P18" s="447"/>
    </row>
    <row r="19" spans="1:16" ht="33" x14ac:dyDescent="0.2">
      <c r="A19" s="451">
        <v>11141</v>
      </c>
      <c r="B19" s="576" t="s">
        <v>8</v>
      </c>
      <c r="C19" s="579"/>
      <c r="D19" s="578"/>
      <c r="E19" s="579"/>
      <c r="F19" s="578"/>
      <c r="G19" s="579"/>
      <c r="H19" s="580">
        <f t="shared" si="1"/>
        <v>0</v>
      </c>
      <c r="I19" s="453" t="str">
        <f t="shared" si="2"/>
        <v>-</v>
      </c>
      <c r="J19" s="802"/>
      <c r="K19" s="452">
        <f t="shared" si="3"/>
        <v>0</v>
      </c>
      <c r="L19" s="453" t="str">
        <f t="shared" si="4"/>
        <v>-</v>
      </c>
      <c r="M19" s="802"/>
      <c r="P19" s="447"/>
    </row>
    <row r="20" spans="1:16" ht="33" x14ac:dyDescent="0.2">
      <c r="A20" s="451">
        <v>11142</v>
      </c>
      <c r="B20" s="576" t="s">
        <v>466</v>
      </c>
      <c r="C20" s="579"/>
      <c r="D20" s="578"/>
      <c r="E20" s="579"/>
      <c r="F20" s="578"/>
      <c r="G20" s="579"/>
      <c r="H20" s="580">
        <f t="shared" si="1"/>
        <v>0</v>
      </c>
      <c r="I20" s="453" t="str">
        <f t="shared" si="2"/>
        <v>-</v>
      </c>
      <c r="J20" s="802"/>
      <c r="K20" s="452">
        <f t="shared" si="3"/>
        <v>0</v>
      </c>
      <c r="L20" s="453" t="str">
        <f t="shared" si="4"/>
        <v>-</v>
      </c>
      <c r="M20" s="802"/>
      <c r="P20" s="447"/>
    </row>
    <row r="21" spans="1:16" ht="49.5" x14ac:dyDescent="0.2">
      <c r="A21" s="451">
        <v>11143</v>
      </c>
      <c r="B21" s="576" t="s">
        <v>11</v>
      </c>
      <c r="C21" s="579"/>
      <c r="D21" s="578"/>
      <c r="E21" s="579"/>
      <c r="F21" s="578"/>
      <c r="G21" s="579"/>
      <c r="H21" s="580">
        <f t="shared" si="1"/>
        <v>0</v>
      </c>
      <c r="I21" s="453" t="str">
        <f t="shared" si="2"/>
        <v>-</v>
      </c>
      <c r="J21" s="802"/>
      <c r="K21" s="452">
        <f t="shared" si="3"/>
        <v>0</v>
      </c>
      <c r="L21" s="453" t="str">
        <f t="shared" si="4"/>
        <v>-</v>
      </c>
      <c r="M21" s="802"/>
      <c r="P21" s="447"/>
    </row>
    <row r="22" spans="1:16" x14ac:dyDescent="0.2">
      <c r="A22" s="451">
        <v>11144</v>
      </c>
      <c r="B22" s="576" t="s">
        <v>12</v>
      </c>
      <c r="C22" s="579"/>
      <c r="D22" s="578"/>
      <c r="E22" s="579"/>
      <c r="F22" s="578"/>
      <c r="G22" s="579"/>
      <c r="H22" s="580">
        <f t="shared" si="1"/>
        <v>0</v>
      </c>
      <c r="I22" s="453" t="str">
        <f t="shared" si="2"/>
        <v>-</v>
      </c>
      <c r="J22" s="803"/>
      <c r="K22" s="452">
        <f t="shared" si="3"/>
        <v>0</v>
      </c>
      <c r="L22" s="453" t="str">
        <f t="shared" si="4"/>
        <v>-</v>
      </c>
      <c r="M22" s="803"/>
      <c r="P22" s="447"/>
    </row>
    <row r="23" spans="1:16" ht="33" x14ac:dyDescent="0.2">
      <c r="A23" s="448">
        <v>11150</v>
      </c>
      <c r="B23" s="581" t="s">
        <v>412</v>
      </c>
      <c r="C23" s="582"/>
      <c r="D23" s="583"/>
      <c r="E23" s="582"/>
      <c r="F23" s="583"/>
      <c r="G23" s="582"/>
      <c r="H23" s="584">
        <f t="shared" si="1"/>
        <v>0</v>
      </c>
      <c r="I23" s="457" t="str">
        <f t="shared" si="2"/>
        <v>-</v>
      </c>
      <c r="J23" s="458"/>
      <c r="K23" s="456">
        <f t="shared" si="3"/>
        <v>0</v>
      </c>
      <c r="L23" s="457" t="str">
        <f t="shared" si="4"/>
        <v>-</v>
      </c>
      <c r="M23" s="458"/>
      <c r="P23" s="447"/>
    </row>
    <row r="24" spans="1:16" ht="17.25" x14ac:dyDescent="0.2">
      <c r="A24" s="448">
        <v>11200</v>
      </c>
      <c r="B24" s="581" t="s">
        <v>13</v>
      </c>
      <c r="C24" s="571">
        <f>C25+C26</f>
        <v>0</v>
      </c>
      <c r="D24" s="585"/>
      <c r="E24" s="571">
        <f>E25+E26</f>
        <v>0</v>
      </c>
      <c r="F24" s="585"/>
      <c r="G24" s="571">
        <f>G25+G26</f>
        <v>0</v>
      </c>
      <c r="H24" s="572">
        <f t="shared" si="1"/>
        <v>0</v>
      </c>
      <c r="I24" s="437" t="str">
        <f t="shared" si="2"/>
        <v>-</v>
      </c>
      <c r="J24" s="804"/>
      <c r="K24" s="436">
        <f t="shared" si="3"/>
        <v>0</v>
      </c>
      <c r="L24" s="437" t="str">
        <f t="shared" si="4"/>
        <v>-</v>
      </c>
      <c r="M24" s="804"/>
      <c r="P24" s="447"/>
    </row>
    <row r="25" spans="1:16" x14ac:dyDescent="0.2">
      <c r="A25" s="459">
        <v>11210</v>
      </c>
      <c r="B25" s="586" t="s">
        <v>414</v>
      </c>
      <c r="C25" s="577"/>
      <c r="D25" s="587"/>
      <c r="E25" s="577"/>
      <c r="F25" s="587"/>
      <c r="G25" s="577"/>
      <c r="H25" s="588">
        <f t="shared" si="1"/>
        <v>0</v>
      </c>
      <c r="I25" s="461" t="str">
        <f t="shared" si="2"/>
        <v>-</v>
      </c>
      <c r="J25" s="805"/>
      <c r="K25" s="460">
        <f t="shared" si="3"/>
        <v>0</v>
      </c>
      <c r="L25" s="461" t="str">
        <f t="shared" si="4"/>
        <v>-</v>
      </c>
      <c r="M25" s="805"/>
      <c r="P25" s="447"/>
    </row>
    <row r="26" spans="1:16" x14ac:dyDescent="0.2">
      <c r="A26" s="459">
        <v>11220</v>
      </c>
      <c r="B26" s="586" t="s">
        <v>415</v>
      </c>
      <c r="C26" s="577"/>
      <c r="D26" s="587"/>
      <c r="E26" s="577"/>
      <c r="F26" s="587"/>
      <c r="G26" s="577"/>
      <c r="H26" s="588">
        <f t="shared" si="1"/>
        <v>0</v>
      </c>
      <c r="I26" s="461" t="str">
        <f t="shared" si="2"/>
        <v>-</v>
      </c>
      <c r="J26" s="806"/>
      <c r="K26" s="460">
        <f t="shared" si="3"/>
        <v>0</v>
      </c>
      <c r="L26" s="461" t="str">
        <f t="shared" si="4"/>
        <v>-</v>
      </c>
      <c r="M26" s="806"/>
      <c r="P26" s="447"/>
    </row>
    <row r="27" spans="1:16" ht="17.25" x14ac:dyDescent="0.2">
      <c r="A27" s="448">
        <v>11300</v>
      </c>
      <c r="B27" s="568" t="s">
        <v>186</v>
      </c>
      <c r="C27" s="585">
        <f t="shared" ref="C27:D27" si="13">SUM(C28:C30)</f>
        <v>1322130.7000000002</v>
      </c>
      <c r="D27" s="585">
        <f t="shared" si="13"/>
        <v>1678028.6835</v>
      </c>
      <c r="E27" s="585">
        <f t="shared" ref="E27:F27" si="14">SUM(E28:E30)</f>
        <v>1322130.7000000002</v>
      </c>
      <c r="F27" s="585">
        <f t="shared" si="14"/>
        <v>1678028.6835</v>
      </c>
      <c r="G27" s="571">
        <f>SUM(G28:G30)</f>
        <v>1649390.07</v>
      </c>
      <c r="H27" s="572">
        <f t="shared" si="1"/>
        <v>-28638.613499999978</v>
      </c>
      <c r="I27" s="437">
        <f t="shared" si="2"/>
        <v>-1.7066820002305388E-2</v>
      </c>
      <c r="J27" s="810" t="s">
        <v>692</v>
      </c>
      <c r="K27" s="436">
        <f t="shared" si="3"/>
        <v>327259.36999999988</v>
      </c>
      <c r="L27" s="437">
        <f t="shared" si="4"/>
        <v>0.24752421980671035</v>
      </c>
      <c r="M27" s="813" t="s">
        <v>781</v>
      </c>
      <c r="P27" s="447"/>
    </row>
    <row r="28" spans="1:16" x14ac:dyDescent="0.2">
      <c r="A28" s="451">
        <v>11310</v>
      </c>
      <c r="B28" s="576" t="s">
        <v>144</v>
      </c>
      <c r="C28" s="577">
        <f>1070909.34</f>
        <v>1070909.3400000001</v>
      </c>
      <c r="D28" s="578">
        <v>1412078.5345000001</v>
      </c>
      <c r="E28" s="577">
        <f>1070909.34</f>
        <v>1070909.3400000001</v>
      </c>
      <c r="F28" s="578">
        <v>1412078.5345000001</v>
      </c>
      <c r="G28" s="579">
        <v>1335362.29</v>
      </c>
      <c r="H28" s="580">
        <f t="shared" si="1"/>
        <v>-76716.24450000003</v>
      </c>
      <c r="I28" s="453">
        <f t="shared" si="2"/>
        <v>-5.4328596197494299E-2</v>
      </c>
      <c r="J28" s="811"/>
      <c r="K28" s="452">
        <f t="shared" si="3"/>
        <v>264452.94999999995</v>
      </c>
      <c r="L28" s="453">
        <f t="shared" si="4"/>
        <v>0.24694242558385002</v>
      </c>
      <c r="M28" s="814"/>
      <c r="P28" s="447"/>
    </row>
    <row r="29" spans="1:16" x14ac:dyDescent="0.2">
      <c r="A29" s="451">
        <v>11320</v>
      </c>
      <c r="B29" s="576" t="s">
        <v>145</v>
      </c>
      <c r="C29" s="577"/>
      <c r="D29" s="578"/>
      <c r="E29" s="577"/>
      <c r="F29" s="578"/>
      <c r="G29" s="579"/>
      <c r="H29" s="580">
        <f t="shared" si="1"/>
        <v>0</v>
      </c>
      <c r="I29" s="453" t="str">
        <f t="shared" si="2"/>
        <v>-</v>
      </c>
      <c r="J29" s="811"/>
      <c r="K29" s="452">
        <f t="shared" si="3"/>
        <v>0</v>
      </c>
      <c r="L29" s="453" t="str">
        <f t="shared" si="4"/>
        <v>-</v>
      </c>
      <c r="M29" s="814"/>
      <c r="P29" s="447"/>
    </row>
    <row r="30" spans="1:16" ht="53.25" customHeight="1" x14ac:dyDescent="0.2">
      <c r="A30" s="451">
        <v>11330</v>
      </c>
      <c r="B30" s="576" t="s">
        <v>15</v>
      </c>
      <c r="C30" s="577">
        <f>0.33+41.35+236084.19+119659.85+52+4.51+375.13-97479-7517</f>
        <v>251221.36</v>
      </c>
      <c r="D30" s="578">
        <v>265950.14900000003</v>
      </c>
      <c r="E30" s="577">
        <f>0.33+41.35+236084.19+119659.85+52+4.51+375.13-97479-7517</f>
        <v>251221.36</v>
      </c>
      <c r="F30" s="578">
        <v>265950.14900000003</v>
      </c>
      <c r="G30" s="579">
        <f>16.54+309965.86+5.25+0.07+57.36+11297.12-7314.42</f>
        <v>314027.77999999997</v>
      </c>
      <c r="H30" s="580">
        <f t="shared" si="1"/>
        <v>48077.630999999936</v>
      </c>
      <c r="I30" s="453">
        <f t="shared" si="2"/>
        <v>0.18077685303346053</v>
      </c>
      <c r="J30" s="812"/>
      <c r="K30" s="452">
        <f t="shared" si="3"/>
        <v>62806.419999999984</v>
      </c>
      <c r="L30" s="453">
        <f t="shared" si="4"/>
        <v>0.25000429899750559</v>
      </c>
      <c r="M30" s="815"/>
      <c r="P30" s="447"/>
    </row>
    <row r="31" spans="1:16" ht="33" x14ac:dyDescent="0.2">
      <c r="A31" s="459">
        <v>11400</v>
      </c>
      <c r="B31" s="589" t="s">
        <v>16</v>
      </c>
      <c r="C31" s="590">
        <v>317416.83</v>
      </c>
      <c r="D31" s="591">
        <v>291911.13</v>
      </c>
      <c r="E31" s="590">
        <v>317416.83</v>
      </c>
      <c r="F31" s="591">
        <v>291911.13</v>
      </c>
      <c r="G31" s="590">
        <v>341419.67</v>
      </c>
      <c r="H31" s="592">
        <f t="shared" si="1"/>
        <v>49508.539999999979</v>
      </c>
      <c r="I31" s="463">
        <f t="shared" si="2"/>
        <v>0.16960141259430558</v>
      </c>
      <c r="J31" s="464" t="s">
        <v>691</v>
      </c>
      <c r="K31" s="465">
        <f t="shared" si="3"/>
        <v>24002.839999999967</v>
      </c>
      <c r="L31" s="466">
        <f t="shared" si="4"/>
        <v>7.5619304748270486E-2</v>
      </c>
      <c r="M31" s="464" t="s">
        <v>691</v>
      </c>
      <c r="P31" s="447"/>
    </row>
    <row r="32" spans="1:16" ht="66" x14ac:dyDescent="0.2">
      <c r="A32" s="459">
        <v>11500</v>
      </c>
      <c r="B32" s="589" t="s">
        <v>299</v>
      </c>
      <c r="C32" s="590">
        <v>286092.15999999997</v>
      </c>
      <c r="D32" s="591">
        <v>320036.19300000003</v>
      </c>
      <c r="E32" s="590">
        <v>286092.15999999997</v>
      </c>
      <c r="F32" s="591">
        <v>320036.19300000003</v>
      </c>
      <c r="G32" s="590">
        <v>288393.32</v>
      </c>
      <c r="H32" s="592">
        <f t="shared" si="1"/>
        <v>-31642.873000000021</v>
      </c>
      <c r="I32" s="463">
        <f t="shared" si="2"/>
        <v>-9.8872795302873823E-2</v>
      </c>
      <c r="J32" s="527" t="s">
        <v>782</v>
      </c>
      <c r="K32" s="465">
        <f t="shared" si="3"/>
        <v>2301.1600000000326</v>
      </c>
      <c r="L32" s="466">
        <f t="shared" si="4"/>
        <v>8.0434220916785447E-3</v>
      </c>
      <c r="M32" s="526"/>
      <c r="P32" s="447"/>
    </row>
    <row r="33" spans="1:16" ht="66" x14ac:dyDescent="0.2">
      <c r="A33" s="459">
        <v>11600</v>
      </c>
      <c r="B33" s="593" t="s">
        <v>19</v>
      </c>
      <c r="C33" s="590">
        <v>132646.47</v>
      </c>
      <c r="D33" s="591">
        <v>149910.64000000001</v>
      </c>
      <c r="E33" s="590">
        <v>132646.47</v>
      </c>
      <c r="F33" s="591">
        <v>149910.64000000001</v>
      </c>
      <c r="G33" s="590">
        <v>134259.88</v>
      </c>
      <c r="H33" s="592">
        <f t="shared" si="1"/>
        <v>-15650.760000000009</v>
      </c>
      <c r="I33" s="463">
        <f t="shared" si="2"/>
        <v>-0.10440059491441039</v>
      </c>
      <c r="J33" s="527" t="s">
        <v>782</v>
      </c>
      <c r="K33" s="465">
        <f t="shared" si="3"/>
        <v>1613.4100000000035</v>
      </c>
      <c r="L33" s="466">
        <f t="shared" si="4"/>
        <v>1.2163233593777531E-2</v>
      </c>
      <c r="M33" s="467"/>
      <c r="P33" s="447"/>
    </row>
    <row r="34" spans="1:16" ht="17.25" x14ac:dyDescent="0.2">
      <c r="A34" s="443">
        <v>12000</v>
      </c>
      <c r="B34" s="568" t="s">
        <v>187</v>
      </c>
      <c r="C34" s="594">
        <f t="shared" ref="C34:D34" si="15">C35+C42</f>
        <v>21831452.150000002</v>
      </c>
      <c r="D34" s="594">
        <f t="shared" si="15"/>
        <v>22571947.660044249</v>
      </c>
      <c r="E34" s="594">
        <f t="shared" ref="E34:F34" si="16">E35+E42</f>
        <v>21831452.150000002</v>
      </c>
      <c r="F34" s="594">
        <f t="shared" si="16"/>
        <v>22571947.660044249</v>
      </c>
      <c r="G34" s="571">
        <f>G35+G42</f>
        <v>23622555.34</v>
      </c>
      <c r="H34" s="572">
        <f t="shared" si="1"/>
        <v>1050607.6799557507</v>
      </c>
      <c r="I34" s="437">
        <f t="shared" si="2"/>
        <v>4.6544839452001954E-2</v>
      </c>
      <c r="J34" s="468"/>
      <c r="K34" s="436">
        <f t="shared" si="3"/>
        <v>1791103.1899999976</v>
      </c>
      <c r="L34" s="437">
        <f t="shared" si="4"/>
        <v>8.2042329465472477E-2</v>
      </c>
      <c r="M34" s="438"/>
      <c r="P34" s="447"/>
    </row>
    <row r="35" spans="1:16" ht="17.25" x14ac:dyDescent="0.2">
      <c r="A35" s="448">
        <v>12100</v>
      </c>
      <c r="B35" s="575" t="s">
        <v>188</v>
      </c>
      <c r="C35" s="570">
        <f t="shared" ref="C35:D35" si="17">C36+C37+C38+C39+C40+C41</f>
        <v>20472673.120000001</v>
      </c>
      <c r="D35" s="570">
        <f t="shared" si="17"/>
        <v>21428845.187466592</v>
      </c>
      <c r="E35" s="570">
        <f t="shared" ref="E35:F35" si="18">E36+E37+E38+E39+E40+E41</f>
        <v>20472673.120000001</v>
      </c>
      <c r="F35" s="570">
        <f t="shared" si="18"/>
        <v>21428845.187466592</v>
      </c>
      <c r="G35" s="571">
        <f>G36+G37+G38+G39+G40+G41</f>
        <v>21744033.620000001</v>
      </c>
      <c r="H35" s="572">
        <f t="shared" si="1"/>
        <v>315188.43253340945</v>
      </c>
      <c r="I35" s="437">
        <f t="shared" si="2"/>
        <v>1.4708605609683456E-2</v>
      </c>
      <c r="J35" s="468"/>
      <c r="K35" s="436">
        <f t="shared" si="3"/>
        <v>1271360.5</v>
      </c>
      <c r="L35" s="437">
        <f t="shared" si="4"/>
        <v>6.2100366305267315E-2</v>
      </c>
      <c r="M35" s="438"/>
      <c r="P35" s="447"/>
    </row>
    <row r="36" spans="1:16" x14ac:dyDescent="0.2">
      <c r="A36" s="451">
        <v>12110</v>
      </c>
      <c r="B36" s="595" t="s">
        <v>301</v>
      </c>
      <c r="C36" s="577">
        <v>11578365.33</v>
      </c>
      <c r="D36" s="578">
        <v>11240563.328000002</v>
      </c>
      <c r="E36" s="577">
        <v>11578365.33</v>
      </c>
      <c r="F36" s="578">
        <v>11240563.328000002</v>
      </c>
      <c r="G36" s="579">
        <v>11661802.119999999</v>
      </c>
      <c r="H36" s="580">
        <f t="shared" si="1"/>
        <v>421238.79199999757</v>
      </c>
      <c r="I36" s="453">
        <f t="shared" si="2"/>
        <v>3.7474882682320805E-2</v>
      </c>
      <c r="J36" s="467"/>
      <c r="K36" s="452">
        <f t="shared" si="3"/>
        <v>83436.789999999106</v>
      </c>
      <c r="L36" s="453">
        <f t="shared" si="4"/>
        <v>7.206266827996099E-3</v>
      </c>
      <c r="M36" s="467"/>
      <c r="P36" s="447"/>
    </row>
    <row r="37" spans="1:16" ht="82.5" x14ac:dyDescent="0.2">
      <c r="A37" s="451">
        <v>12120</v>
      </c>
      <c r="B37" s="595" t="s">
        <v>302</v>
      </c>
      <c r="C37" s="577">
        <v>2889588.29</v>
      </c>
      <c r="D37" s="578">
        <v>2714278.0663000001</v>
      </c>
      <c r="E37" s="577">
        <v>2889588.29</v>
      </c>
      <c r="F37" s="578">
        <v>2714278.0663000001</v>
      </c>
      <c r="G37" s="579">
        <v>2923010.08</v>
      </c>
      <c r="H37" s="580">
        <f t="shared" si="1"/>
        <v>208732.01370000001</v>
      </c>
      <c r="I37" s="453">
        <f t="shared" si="2"/>
        <v>7.6901484888958149E-2</v>
      </c>
      <c r="J37" s="464" t="s">
        <v>847</v>
      </c>
      <c r="K37" s="452">
        <f t="shared" si="3"/>
        <v>33421.790000000037</v>
      </c>
      <c r="L37" s="453">
        <f t="shared" si="4"/>
        <v>1.1566280952778929E-2</v>
      </c>
      <c r="M37" s="467"/>
      <c r="P37" s="447"/>
    </row>
    <row r="38" spans="1:16" ht="99" x14ac:dyDescent="0.2">
      <c r="A38" s="451">
        <v>12130</v>
      </c>
      <c r="B38" s="595" t="s">
        <v>303</v>
      </c>
      <c r="C38" s="577">
        <v>270</v>
      </c>
      <c r="D38" s="578">
        <v>1278.26</v>
      </c>
      <c r="E38" s="577">
        <v>270</v>
      </c>
      <c r="F38" s="578">
        <v>1278.26</v>
      </c>
      <c r="G38" s="579">
        <v>8662.89</v>
      </c>
      <c r="H38" s="580">
        <f t="shared" si="1"/>
        <v>7384.6299999999992</v>
      </c>
      <c r="I38" s="453">
        <f t="shared" si="2"/>
        <v>5.7770954265955279</v>
      </c>
      <c r="J38" s="464" t="s">
        <v>848</v>
      </c>
      <c r="K38" s="452">
        <f t="shared" si="3"/>
        <v>8392.89</v>
      </c>
      <c r="L38" s="453">
        <f t="shared" si="4"/>
        <v>31.084777777777777</v>
      </c>
      <c r="M38" s="464" t="s">
        <v>853</v>
      </c>
      <c r="P38" s="447"/>
    </row>
    <row r="39" spans="1:16" ht="132" customHeight="1" x14ac:dyDescent="0.2">
      <c r="A39" s="451">
        <v>12140</v>
      </c>
      <c r="B39" s="595" t="s">
        <v>304</v>
      </c>
      <c r="C39" s="577">
        <f>1574995.05</f>
        <v>1574995.05</v>
      </c>
      <c r="D39" s="578">
        <v>2263200.2084319997</v>
      </c>
      <c r="E39" s="577">
        <f>1574995.05</f>
        <v>1574995.05</v>
      </c>
      <c r="F39" s="578">
        <v>2263200.2084319997</v>
      </c>
      <c r="G39" s="579">
        <f>2113742.09+1664+2799.15+896.58-6557</f>
        <v>2112544.8199999998</v>
      </c>
      <c r="H39" s="580">
        <f t="shared" si="1"/>
        <v>-150655.38843199983</v>
      </c>
      <c r="I39" s="453">
        <f t="shared" si="2"/>
        <v>-6.656741541057809E-2</v>
      </c>
      <c r="J39" s="464" t="s">
        <v>849</v>
      </c>
      <c r="K39" s="452">
        <f t="shared" si="3"/>
        <v>537549.76999999979</v>
      </c>
      <c r="L39" s="453">
        <f t="shared" si="4"/>
        <v>0.34130251393488492</v>
      </c>
      <c r="M39" s="464" t="s">
        <v>825</v>
      </c>
      <c r="P39" s="447"/>
    </row>
    <row r="40" spans="1:16" ht="261" customHeight="1" x14ac:dyDescent="0.2">
      <c r="A40" s="451">
        <v>12150</v>
      </c>
      <c r="B40" s="595" t="s">
        <v>305</v>
      </c>
      <c r="C40" s="577">
        <f>4429454.45-4118862.13</f>
        <v>310592.3200000003</v>
      </c>
      <c r="D40" s="578">
        <f>5378026.32473459-168501-D41</f>
        <v>314871.38123458996</v>
      </c>
      <c r="E40" s="577">
        <f>4429454.45-4118862.13</f>
        <v>310592.3200000003</v>
      </c>
      <c r="F40" s="578">
        <f>5378026.32473459-168501-F41</f>
        <v>314871.38123458996</v>
      </c>
      <c r="G40" s="579">
        <f>5038013.71-G41</f>
        <v>289568.44000000041</v>
      </c>
      <c r="H40" s="580">
        <f t="shared" si="1"/>
        <v>-25302.941234589554</v>
      </c>
      <c r="I40" s="453">
        <f t="shared" si="2"/>
        <v>-8.0359609486827244E-2</v>
      </c>
      <c r="J40" s="664" t="s">
        <v>850</v>
      </c>
      <c r="K40" s="452">
        <f t="shared" si="3"/>
        <v>-21023.879999999888</v>
      </c>
      <c r="L40" s="453">
        <f t="shared" si="4"/>
        <v>-6.7689632506044803E-2</v>
      </c>
      <c r="M40" s="664" t="s">
        <v>854</v>
      </c>
      <c r="N40" s="469"/>
      <c r="P40" s="447"/>
    </row>
    <row r="41" spans="1:16" ht="153" customHeight="1" x14ac:dyDescent="0.2">
      <c r="A41" s="451">
        <v>12160</v>
      </c>
      <c r="B41" s="595" t="s">
        <v>306</v>
      </c>
      <c r="C41" s="577">
        <v>4118862.13</v>
      </c>
      <c r="D41" s="578">
        <f>5063154.9435-168501</f>
        <v>4894653.9435000001</v>
      </c>
      <c r="E41" s="577">
        <v>4118862.13</v>
      </c>
      <c r="F41" s="578">
        <f>5063154.9435-168501</f>
        <v>4894653.9435000001</v>
      </c>
      <c r="G41" s="579">
        <v>4748445.2699999996</v>
      </c>
      <c r="H41" s="580">
        <f t="shared" si="1"/>
        <v>-146208.6735000005</v>
      </c>
      <c r="I41" s="453">
        <f t="shared" si="2"/>
        <v>-2.9871095114734847E-2</v>
      </c>
      <c r="J41" s="472"/>
      <c r="K41" s="470">
        <f t="shared" si="3"/>
        <v>629583.13999999966</v>
      </c>
      <c r="L41" s="471">
        <f t="shared" si="4"/>
        <v>0.15285365718225671</v>
      </c>
      <c r="M41" s="658" t="s">
        <v>855</v>
      </c>
      <c r="P41" s="447"/>
    </row>
    <row r="42" spans="1:16" ht="153" customHeight="1" x14ac:dyDescent="0.2">
      <c r="A42" s="448">
        <v>12200</v>
      </c>
      <c r="B42" s="575" t="s">
        <v>189</v>
      </c>
      <c r="C42" s="585">
        <f t="shared" ref="C42:D42" si="19">C43+C44</f>
        <v>1358779.03</v>
      </c>
      <c r="D42" s="585">
        <f t="shared" si="19"/>
        <v>1143102.4725776564</v>
      </c>
      <c r="E42" s="585">
        <f t="shared" ref="E42:F42" si="20">E43+E44</f>
        <v>1358779.03</v>
      </c>
      <c r="F42" s="585">
        <f t="shared" si="20"/>
        <v>1143102.4725776564</v>
      </c>
      <c r="G42" s="571">
        <f>G43+G44</f>
        <v>1878521.72</v>
      </c>
      <c r="H42" s="572">
        <f t="shared" si="1"/>
        <v>735419.24742234359</v>
      </c>
      <c r="I42" s="437">
        <f>IFERROR(H42/ABS(F42), "-")</f>
        <v>0.64335373692613818</v>
      </c>
      <c r="J42" s="472"/>
      <c r="K42" s="436">
        <f t="shared" si="3"/>
        <v>519742.68999999994</v>
      </c>
      <c r="L42" s="437">
        <f t="shared" si="4"/>
        <v>0.38250714687582421</v>
      </c>
      <c r="M42" s="472"/>
      <c r="P42" s="447"/>
    </row>
    <row r="43" spans="1:16" ht="18" customHeight="1" x14ac:dyDescent="0.2">
      <c r="A43" s="451">
        <v>12210</v>
      </c>
      <c r="B43" s="595" t="s">
        <v>307</v>
      </c>
      <c r="C43" s="579"/>
      <c r="D43" s="578"/>
      <c r="E43" s="579"/>
      <c r="F43" s="578"/>
      <c r="G43" s="579"/>
      <c r="H43" s="580">
        <f t="shared" si="1"/>
        <v>0</v>
      </c>
      <c r="I43" s="453" t="str">
        <f t="shared" si="2"/>
        <v>-</v>
      </c>
      <c r="J43" s="472"/>
      <c r="K43" s="452">
        <f t="shared" si="3"/>
        <v>0</v>
      </c>
      <c r="L43" s="453" t="str">
        <f t="shared" si="4"/>
        <v>-</v>
      </c>
      <c r="M43" s="472"/>
      <c r="P43" s="447"/>
    </row>
    <row r="44" spans="1:16" ht="33" x14ac:dyDescent="0.2">
      <c r="A44" s="451">
        <v>12220</v>
      </c>
      <c r="B44" s="595" t="s">
        <v>308</v>
      </c>
      <c r="C44" s="577">
        <v>1358779.03</v>
      </c>
      <c r="D44" s="578">
        <v>1143102.4725776564</v>
      </c>
      <c r="E44" s="577">
        <v>1358779.03</v>
      </c>
      <c r="F44" s="578">
        <v>1143102.4725776564</v>
      </c>
      <c r="G44" s="579">
        <v>1878521.72</v>
      </c>
      <c r="H44" s="580">
        <f t="shared" si="1"/>
        <v>735419.24742234359</v>
      </c>
      <c r="I44" s="453">
        <f t="shared" si="2"/>
        <v>0.64335373692613818</v>
      </c>
      <c r="J44" s="665" t="s">
        <v>851</v>
      </c>
      <c r="K44" s="473">
        <f t="shared" si="3"/>
        <v>519742.68999999994</v>
      </c>
      <c r="L44" s="474">
        <f t="shared" si="4"/>
        <v>0.38250714687582421</v>
      </c>
      <c r="M44" s="665" t="s">
        <v>774</v>
      </c>
      <c r="P44" s="447"/>
    </row>
    <row r="45" spans="1:16" ht="33" x14ac:dyDescent="0.2">
      <c r="A45" s="443">
        <v>13000</v>
      </c>
      <c r="B45" s="596" t="s">
        <v>190</v>
      </c>
      <c r="C45" s="594">
        <f t="shared" ref="C45:D45" si="21">C5-C34</f>
        <v>28590.439999993891</v>
      </c>
      <c r="D45" s="594">
        <f t="shared" si="21"/>
        <v>798832.43505575135</v>
      </c>
      <c r="E45" s="594">
        <f t="shared" ref="E45:F45" si="22">E5-E34</f>
        <v>28590.439999993891</v>
      </c>
      <c r="F45" s="594">
        <f t="shared" si="22"/>
        <v>798832.43505575135</v>
      </c>
      <c r="G45" s="597">
        <f t="shared" ref="G45" si="23">G5-G34</f>
        <v>541042.36999999732</v>
      </c>
      <c r="H45" s="598">
        <f t="shared" si="1"/>
        <v>-257790.06505575404</v>
      </c>
      <c r="I45" s="476">
        <f t="shared" si="2"/>
        <v>-0.3227085603224944</v>
      </c>
      <c r="J45" s="438"/>
      <c r="K45" s="475">
        <f t="shared" si="3"/>
        <v>512451.93000000343</v>
      </c>
      <c r="L45" s="476">
        <f t="shared" si="4"/>
        <v>17.923890992937253</v>
      </c>
      <c r="M45" s="438"/>
      <c r="P45" s="447"/>
    </row>
    <row r="46" spans="1:16" x14ac:dyDescent="0.2">
      <c r="A46" s="439" t="s">
        <v>196</v>
      </c>
      <c r="B46" s="798" t="s">
        <v>192</v>
      </c>
      <c r="C46" s="798"/>
      <c r="D46" s="798"/>
      <c r="E46" s="798"/>
      <c r="F46" s="798"/>
      <c r="G46" s="798"/>
      <c r="H46" s="798"/>
      <c r="I46" s="442" t="str">
        <f t="shared" si="2"/>
        <v>-</v>
      </c>
      <c r="J46" s="441"/>
      <c r="K46" s="440">
        <f t="shared" si="3"/>
        <v>0</v>
      </c>
      <c r="L46" s="442" t="str">
        <f t="shared" si="4"/>
        <v>-</v>
      </c>
      <c r="M46" s="441"/>
    </row>
    <row r="47" spans="1:16" ht="17.25" x14ac:dyDescent="0.2">
      <c r="A47" s="477">
        <v>14000</v>
      </c>
      <c r="B47" s="599" t="s">
        <v>315</v>
      </c>
      <c r="C47" s="600">
        <f>C48+C49+C50+C51+C52</f>
        <v>0</v>
      </c>
      <c r="D47" s="600">
        <f t="shared" ref="D47:G47" si="24">D48+D49+D50+D51+D52</f>
        <v>0</v>
      </c>
      <c r="E47" s="600">
        <f>E48+E49+E50+E51+E52</f>
        <v>0</v>
      </c>
      <c r="F47" s="600">
        <f t="shared" ref="F47" si="25">F48+F49+F50+F51+F52</f>
        <v>0</v>
      </c>
      <c r="G47" s="601">
        <f t="shared" si="24"/>
        <v>0</v>
      </c>
      <c r="H47" s="602">
        <f t="shared" ref="H47:H63" si="26">G47-F47</f>
        <v>0</v>
      </c>
      <c r="I47" s="476" t="str">
        <f t="shared" si="2"/>
        <v>-</v>
      </c>
      <c r="J47" s="479"/>
      <c r="K47" s="478">
        <f t="shared" si="3"/>
        <v>0</v>
      </c>
      <c r="L47" s="476" t="str">
        <f t="shared" si="4"/>
        <v>-</v>
      </c>
      <c r="M47" s="479"/>
    </row>
    <row r="48" spans="1:16" ht="66" x14ac:dyDescent="0.2">
      <c r="A48" s="480">
        <v>14100</v>
      </c>
      <c r="B48" s="603" t="s">
        <v>311</v>
      </c>
      <c r="C48" s="604"/>
      <c r="D48" s="605"/>
      <c r="E48" s="604"/>
      <c r="F48" s="605"/>
      <c r="G48" s="604"/>
      <c r="H48" s="606">
        <f t="shared" si="26"/>
        <v>0</v>
      </c>
      <c r="I48" s="463" t="str">
        <f t="shared" si="2"/>
        <v>-</v>
      </c>
      <c r="J48" s="482"/>
      <c r="K48" s="481">
        <f t="shared" si="3"/>
        <v>0</v>
      </c>
      <c r="L48" s="463" t="str">
        <f t="shared" si="4"/>
        <v>-</v>
      </c>
      <c r="M48" s="482"/>
    </row>
    <row r="49" spans="1:13" ht="37.5" customHeight="1" x14ac:dyDescent="0.2">
      <c r="A49" s="480">
        <v>14200</v>
      </c>
      <c r="B49" s="603" t="s">
        <v>193</v>
      </c>
      <c r="C49" s="604"/>
      <c r="D49" s="605"/>
      <c r="E49" s="604"/>
      <c r="F49" s="605"/>
      <c r="G49" s="604"/>
      <c r="H49" s="606">
        <f t="shared" si="26"/>
        <v>0</v>
      </c>
      <c r="I49" s="463" t="str">
        <f t="shared" si="2"/>
        <v>-</v>
      </c>
      <c r="J49" s="482"/>
      <c r="K49" s="481">
        <f t="shared" si="3"/>
        <v>0</v>
      </c>
      <c r="L49" s="463" t="str">
        <f t="shared" si="4"/>
        <v>-</v>
      </c>
      <c r="M49" s="482"/>
    </row>
    <row r="50" spans="1:13" ht="17.25" x14ac:dyDescent="0.2">
      <c r="A50" s="480">
        <v>14300</v>
      </c>
      <c r="B50" s="589" t="s">
        <v>195</v>
      </c>
      <c r="C50" s="604"/>
      <c r="D50" s="605"/>
      <c r="E50" s="604"/>
      <c r="F50" s="605"/>
      <c r="G50" s="604"/>
      <c r="H50" s="606">
        <f t="shared" si="26"/>
        <v>0</v>
      </c>
      <c r="I50" s="463" t="str">
        <f t="shared" si="2"/>
        <v>-</v>
      </c>
      <c r="J50" s="482"/>
      <c r="K50" s="481">
        <f t="shared" si="3"/>
        <v>0</v>
      </c>
      <c r="L50" s="463" t="str">
        <f t="shared" si="4"/>
        <v>-</v>
      </c>
      <c r="M50" s="482"/>
    </row>
    <row r="51" spans="1:13" ht="17.25" x14ac:dyDescent="0.2">
      <c r="A51" s="480">
        <v>14400</v>
      </c>
      <c r="B51" s="589" t="s">
        <v>316</v>
      </c>
      <c r="C51" s="604"/>
      <c r="D51" s="605"/>
      <c r="E51" s="604"/>
      <c r="F51" s="605"/>
      <c r="G51" s="604"/>
      <c r="H51" s="606">
        <f t="shared" si="26"/>
        <v>0</v>
      </c>
      <c r="I51" s="463" t="str">
        <f t="shared" si="2"/>
        <v>-</v>
      </c>
      <c r="J51" s="482"/>
      <c r="K51" s="481">
        <f t="shared" si="3"/>
        <v>0</v>
      </c>
      <c r="L51" s="463" t="str">
        <f t="shared" si="4"/>
        <v>-</v>
      </c>
      <c r="M51" s="482"/>
    </row>
    <row r="52" spans="1:13" ht="17.25" x14ac:dyDescent="0.2">
      <c r="A52" s="480">
        <v>14500</v>
      </c>
      <c r="B52" s="589" t="s">
        <v>317</v>
      </c>
      <c r="C52" s="604"/>
      <c r="D52" s="605"/>
      <c r="E52" s="604"/>
      <c r="F52" s="605"/>
      <c r="G52" s="604"/>
      <c r="H52" s="606">
        <f t="shared" si="26"/>
        <v>0</v>
      </c>
      <c r="I52" s="463" t="str">
        <f t="shared" si="2"/>
        <v>-</v>
      </c>
      <c r="J52" s="482"/>
      <c r="K52" s="481">
        <f t="shared" si="3"/>
        <v>0</v>
      </c>
      <c r="L52" s="463" t="str">
        <f t="shared" si="4"/>
        <v>-</v>
      </c>
      <c r="M52" s="482"/>
    </row>
    <row r="53" spans="1:13" ht="17.25" x14ac:dyDescent="0.2">
      <c r="A53" s="477">
        <v>15000</v>
      </c>
      <c r="B53" s="607" t="s">
        <v>318</v>
      </c>
      <c r="C53" s="600">
        <f ca="1">C54+C55+C104</f>
        <v>1338102</v>
      </c>
      <c r="D53" s="600">
        <f t="shared" ref="D53" si="27">D54+D55+D104</f>
        <v>1293300</v>
      </c>
      <c r="E53" s="600">
        <f ca="1">E54+E55+E104</f>
        <v>1338102</v>
      </c>
      <c r="F53" s="600">
        <f t="shared" ref="F53" si="28">F54+F55+F104</f>
        <v>1293300</v>
      </c>
      <c r="G53" s="688">
        <f ca="1">G54+G55+G104</f>
        <v>1088687</v>
      </c>
      <c r="H53" s="602">
        <f t="shared" ca="1" si="26"/>
        <v>-204613</v>
      </c>
      <c r="I53" s="476">
        <f t="shared" ca="1" si="2"/>
        <v>-0.15821000541251062</v>
      </c>
      <c r="J53" s="479"/>
      <c r="K53" s="478">
        <f t="shared" ca="1" si="3"/>
        <v>-249415</v>
      </c>
      <c r="L53" s="476">
        <f t="shared" ca="1" si="4"/>
        <v>-0.1863946096784849</v>
      </c>
      <c r="M53" s="479"/>
    </row>
    <row r="54" spans="1:13" ht="49.5" x14ac:dyDescent="0.2">
      <c r="A54" s="480">
        <v>15100</v>
      </c>
      <c r="B54" s="603" t="s">
        <v>310</v>
      </c>
      <c r="C54" s="604"/>
      <c r="D54" s="605"/>
      <c r="E54" s="604"/>
      <c r="F54" s="605"/>
      <c r="G54" s="689"/>
      <c r="H54" s="606">
        <f t="shared" si="26"/>
        <v>0</v>
      </c>
      <c r="I54" s="463" t="str">
        <f t="shared" si="2"/>
        <v>-</v>
      </c>
      <c r="J54" s="482"/>
      <c r="K54" s="481">
        <f t="shared" si="3"/>
        <v>0</v>
      </c>
      <c r="L54" s="463" t="str">
        <f t="shared" si="4"/>
        <v>-</v>
      </c>
      <c r="M54" s="482"/>
    </row>
    <row r="55" spans="1:13" ht="36" x14ac:dyDescent="0.2">
      <c r="A55" s="480">
        <v>15200</v>
      </c>
      <c r="B55" s="603" t="s">
        <v>766</v>
      </c>
      <c r="C55" s="608">
        <f ca="1">C56+C72+C88</f>
        <v>1338102</v>
      </c>
      <c r="D55" s="608">
        <f t="shared" ref="D55" si="29">D56+D72+D88</f>
        <v>1293300</v>
      </c>
      <c r="E55" s="608">
        <f ca="1">E56+E72+E88</f>
        <v>1338102</v>
      </c>
      <c r="F55" s="608">
        <f t="shared" ref="F55" si="30">F56+F72+F88</f>
        <v>1293300</v>
      </c>
      <c r="G55" s="690">
        <f ca="1">G56+G72+G88</f>
        <v>1088687</v>
      </c>
      <c r="H55" s="609">
        <f t="shared" ca="1" si="26"/>
        <v>-204613</v>
      </c>
      <c r="I55" s="484">
        <f t="shared" ca="1" si="2"/>
        <v>-0.15821000541251062</v>
      </c>
      <c r="J55" s="479"/>
      <c r="K55" s="483">
        <f t="shared" ca="1" si="3"/>
        <v>-249415</v>
      </c>
      <c r="L55" s="484">
        <f t="shared" ca="1" si="4"/>
        <v>-0.1863946096784849</v>
      </c>
      <c r="M55" s="479"/>
    </row>
    <row r="56" spans="1:13" ht="19.5" customHeight="1" x14ac:dyDescent="0.2">
      <c r="A56" s="485">
        <v>15210</v>
      </c>
      <c r="B56" s="610" t="s">
        <v>314</v>
      </c>
      <c r="C56" s="611">
        <f t="shared" ref="C56:D56" ca="1" si="31">C57+C60+C63+C66+C69</f>
        <v>47069</v>
      </c>
      <c r="D56" s="611">
        <f t="shared" si="31"/>
        <v>0</v>
      </c>
      <c r="E56" s="611">
        <f t="shared" ref="E56:F56" ca="1" si="32">E57+E60+E63+E66+E69</f>
        <v>47069</v>
      </c>
      <c r="F56" s="611">
        <f t="shared" si="32"/>
        <v>0</v>
      </c>
      <c r="G56" s="691">
        <f ca="1">G57+G60+G63+G66+G69</f>
        <v>33275</v>
      </c>
      <c r="H56" s="612">
        <f t="shared" ca="1" si="26"/>
        <v>33275</v>
      </c>
      <c r="I56" s="437" t="str">
        <f t="shared" ca="1" si="2"/>
        <v>-</v>
      </c>
      <c r="J56" s="778" t="s">
        <v>866</v>
      </c>
      <c r="K56" s="486">
        <f t="shared" ca="1" si="3"/>
        <v>-13794</v>
      </c>
      <c r="L56" s="437">
        <f t="shared" ca="1" si="4"/>
        <v>-0.29305912596401029</v>
      </c>
      <c r="M56" s="816" t="s">
        <v>856</v>
      </c>
    </row>
    <row r="57" spans="1:13" ht="49.5" x14ac:dyDescent="0.2">
      <c r="A57" s="434">
        <v>15211</v>
      </c>
      <c r="B57" s="595" t="s">
        <v>529</v>
      </c>
      <c r="C57" s="613">
        <f ca="1">SUM(OFFSET(C60,-1,0):OFFSET(C57,1,0))</f>
        <v>0</v>
      </c>
      <c r="D57" s="614"/>
      <c r="E57" s="613">
        <f ca="1">SUM(OFFSET(E60,-1,0):OFFSET(E57,1,0))</f>
        <v>0</v>
      </c>
      <c r="F57" s="614"/>
      <c r="G57" s="692">
        <f ca="1">SUM(OFFSET(G60,-1,0):OFFSET(G57,1,0))</f>
        <v>0</v>
      </c>
      <c r="H57" s="615">
        <f t="shared" ca="1" si="26"/>
        <v>0</v>
      </c>
      <c r="I57" s="488" t="str">
        <f t="shared" ca="1" si="2"/>
        <v>-</v>
      </c>
      <c r="J57" s="779"/>
      <c r="K57" s="487">
        <f t="shared" ca="1" si="3"/>
        <v>0</v>
      </c>
      <c r="L57" s="488" t="str">
        <f t="shared" ca="1" si="4"/>
        <v>-</v>
      </c>
      <c r="M57" s="817"/>
    </row>
    <row r="58" spans="1:13" s="492" customFormat="1" ht="18.75" customHeight="1" x14ac:dyDescent="0.2">
      <c r="A58" s="489"/>
      <c r="B58" s="616"/>
      <c r="C58" s="617"/>
      <c r="D58" s="618"/>
      <c r="E58" s="617"/>
      <c r="F58" s="618"/>
      <c r="G58" s="693"/>
      <c r="H58" s="619">
        <f t="shared" si="26"/>
        <v>0</v>
      </c>
      <c r="I58" s="491" t="str">
        <f t="shared" si="2"/>
        <v>-</v>
      </c>
      <c r="J58" s="779"/>
      <c r="K58" s="490">
        <f t="shared" si="3"/>
        <v>0</v>
      </c>
      <c r="L58" s="491" t="str">
        <f t="shared" si="4"/>
        <v>-</v>
      </c>
      <c r="M58" s="817"/>
    </row>
    <row r="59" spans="1:13" s="492" customFormat="1" x14ac:dyDescent="0.2">
      <c r="A59" s="489"/>
      <c r="B59" s="616"/>
      <c r="C59" s="617"/>
      <c r="D59" s="618"/>
      <c r="E59" s="617"/>
      <c r="F59" s="618"/>
      <c r="G59" s="693"/>
      <c r="H59" s="619">
        <f t="shared" si="26"/>
        <v>0</v>
      </c>
      <c r="I59" s="491" t="str">
        <f t="shared" si="2"/>
        <v>-</v>
      </c>
      <c r="J59" s="779"/>
      <c r="K59" s="490">
        <f t="shared" si="3"/>
        <v>0</v>
      </c>
      <c r="L59" s="491" t="str">
        <f t="shared" si="4"/>
        <v>-</v>
      </c>
      <c r="M59" s="817"/>
    </row>
    <row r="60" spans="1:13" ht="49.5" x14ac:dyDescent="0.2">
      <c r="A60" s="434">
        <v>15212</v>
      </c>
      <c r="B60" s="595" t="s">
        <v>530</v>
      </c>
      <c r="C60" s="613">
        <f ca="1">SUM(OFFSET(C63,-1,0):OFFSET(C60,1,0))</f>
        <v>0</v>
      </c>
      <c r="D60" s="614"/>
      <c r="E60" s="613">
        <f ca="1">SUM(OFFSET(E63,-1,0):OFFSET(E60,1,0))</f>
        <v>0</v>
      </c>
      <c r="F60" s="614"/>
      <c r="G60" s="692">
        <f ca="1">SUM(OFFSET(G63,-1,0):OFFSET(G60,1,0))</f>
        <v>0</v>
      </c>
      <c r="H60" s="615">
        <f t="shared" ca="1" si="26"/>
        <v>0</v>
      </c>
      <c r="I60" s="488" t="str">
        <f t="shared" ca="1" si="2"/>
        <v>-</v>
      </c>
      <c r="J60" s="779"/>
      <c r="K60" s="487">
        <f t="shared" ca="1" si="3"/>
        <v>0</v>
      </c>
      <c r="L60" s="488" t="str">
        <f t="shared" ca="1" si="4"/>
        <v>-</v>
      </c>
      <c r="M60" s="817"/>
    </row>
    <row r="61" spans="1:13" s="492" customFormat="1" ht="18.75" customHeight="1" x14ac:dyDescent="0.2">
      <c r="A61" s="489"/>
      <c r="B61" s="616"/>
      <c r="C61" s="617"/>
      <c r="D61" s="618"/>
      <c r="E61" s="617"/>
      <c r="F61" s="618"/>
      <c r="G61" s="693"/>
      <c r="H61" s="619">
        <f t="shared" si="26"/>
        <v>0</v>
      </c>
      <c r="I61" s="491" t="str">
        <f t="shared" si="2"/>
        <v>-</v>
      </c>
      <c r="J61" s="779"/>
      <c r="K61" s="490">
        <f t="shared" si="3"/>
        <v>0</v>
      </c>
      <c r="L61" s="491" t="str">
        <f t="shared" si="4"/>
        <v>-</v>
      </c>
      <c r="M61" s="817"/>
    </row>
    <row r="62" spans="1:13" s="492" customFormat="1" x14ac:dyDescent="0.2">
      <c r="A62" s="489"/>
      <c r="B62" s="616"/>
      <c r="C62" s="617"/>
      <c r="D62" s="618"/>
      <c r="E62" s="617"/>
      <c r="F62" s="618"/>
      <c r="G62" s="693"/>
      <c r="H62" s="619">
        <f t="shared" si="26"/>
        <v>0</v>
      </c>
      <c r="I62" s="491" t="str">
        <f t="shared" si="2"/>
        <v>-</v>
      </c>
      <c r="J62" s="779"/>
      <c r="K62" s="490">
        <f t="shared" si="3"/>
        <v>0</v>
      </c>
      <c r="L62" s="491" t="str">
        <f t="shared" si="4"/>
        <v>-</v>
      </c>
      <c r="M62" s="817"/>
    </row>
    <row r="63" spans="1:13" ht="33" x14ac:dyDescent="0.2">
      <c r="A63" s="434">
        <v>15213</v>
      </c>
      <c r="B63" s="595" t="s">
        <v>531</v>
      </c>
      <c r="C63" s="613">
        <f ca="1">SUM(OFFSET(C66,-1,0):OFFSET(C63,1,0))</f>
        <v>0</v>
      </c>
      <c r="D63" s="614"/>
      <c r="E63" s="613">
        <f ca="1">SUM(OFFSET(E66,-1,0):OFFSET(E63,1,0))</f>
        <v>0</v>
      </c>
      <c r="F63" s="614"/>
      <c r="G63" s="692">
        <f ca="1">SUM(OFFSET(G66,-1,0):OFFSET(G63,1,0))</f>
        <v>0</v>
      </c>
      <c r="H63" s="615">
        <f t="shared" ca="1" si="26"/>
        <v>0</v>
      </c>
      <c r="I63" s="488" t="str">
        <f t="shared" ca="1" si="2"/>
        <v>-</v>
      </c>
      <c r="J63" s="779"/>
      <c r="K63" s="487">
        <f ca="1">G63-E63</f>
        <v>0</v>
      </c>
      <c r="L63" s="488" t="str">
        <f t="shared" ca="1" si="4"/>
        <v>-</v>
      </c>
      <c r="M63" s="817"/>
    </row>
    <row r="64" spans="1:13" s="492" customFormat="1" ht="39.75" customHeight="1" x14ac:dyDescent="0.2">
      <c r="A64" s="489"/>
      <c r="B64" s="616"/>
      <c r="C64" s="618"/>
      <c r="D64" s="618"/>
      <c r="E64" s="618"/>
      <c r="F64" s="618"/>
      <c r="G64" s="694"/>
      <c r="H64" s="619"/>
      <c r="I64" s="491" t="str">
        <f t="shared" si="2"/>
        <v>-</v>
      </c>
      <c r="J64" s="779"/>
      <c r="K64" s="490">
        <f t="shared" si="3"/>
        <v>0</v>
      </c>
      <c r="L64" s="491" t="str">
        <f t="shared" si="4"/>
        <v>-</v>
      </c>
      <c r="M64" s="817"/>
    </row>
    <row r="65" spans="1:14" s="492" customFormat="1" ht="39.75" customHeight="1" x14ac:dyDescent="0.2">
      <c r="A65" s="489"/>
      <c r="B65" s="616"/>
      <c r="C65" s="617"/>
      <c r="D65" s="618"/>
      <c r="E65" s="617"/>
      <c r="F65" s="618"/>
      <c r="G65" s="693"/>
      <c r="H65" s="619">
        <f t="shared" ref="H65:H105" si="33">G65-F65</f>
        <v>0</v>
      </c>
      <c r="I65" s="491" t="str">
        <f t="shared" si="2"/>
        <v>-</v>
      </c>
      <c r="J65" s="779"/>
      <c r="K65" s="490">
        <f t="shared" si="3"/>
        <v>0</v>
      </c>
      <c r="L65" s="491" t="str">
        <f t="shared" si="4"/>
        <v>-</v>
      </c>
      <c r="M65" s="817"/>
    </row>
    <row r="66" spans="1:14" ht="33" x14ac:dyDescent="0.2">
      <c r="A66" s="434">
        <v>15214</v>
      </c>
      <c r="B66" s="595" t="s">
        <v>532</v>
      </c>
      <c r="C66" s="613">
        <f ca="1">SUM(OFFSET(C69,-1,0):OFFSET(C66,1,0))</f>
        <v>0</v>
      </c>
      <c r="D66" s="614"/>
      <c r="E66" s="613">
        <f ca="1">SUM(OFFSET(E69,-1,0):OFFSET(E66,1,0))</f>
        <v>0</v>
      </c>
      <c r="F66" s="614"/>
      <c r="G66" s="692">
        <f ca="1">SUM(OFFSET(G69,-1,0):OFFSET(G66,1,0))</f>
        <v>0</v>
      </c>
      <c r="H66" s="615">
        <f t="shared" ca="1" si="33"/>
        <v>0</v>
      </c>
      <c r="I66" s="488" t="str">
        <f t="shared" ca="1" si="2"/>
        <v>-</v>
      </c>
      <c r="J66" s="779"/>
      <c r="K66" s="487">
        <f t="shared" ca="1" si="3"/>
        <v>0</v>
      </c>
      <c r="L66" s="488" t="str">
        <f t="shared" ca="1" si="4"/>
        <v>-</v>
      </c>
      <c r="M66" s="817"/>
    </row>
    <row r="67" spans="1:14" s="492" customFormat="1" ht="18.75" customHeight="1" x14ac:dyDescent="0.2">
      <c r="A67" s="489"/>
      <c r="B67" s="616"/>
      <c r="C67" s="617"/>
      <c r="D67" s="618"/>
      <c r="E67" s="617"/>
      <c r="F67" s="618"/>
      <c r="G67" s="693"/>
      <c r="H67" s="619">
        <f t="shared" si="33"/>
        <v>0</v>
      </c>
      <c r="I67" s="491" t="str">
        <f t="shared" si="2"/>
        <v>-</v>
      </c>
      <c r="J67" s="780"/>
      <c r="K67" s="490">
        <f t="shared" si="3"/>
        <v>0</v>
      </c>
      <c r="L67" s="491" t="str">
        <f t="shared" si="4"/>
        <v>-</v>
      </c>
      <c r="M67" s="817"/>
    </row>
    <row r="68" spans="1:14" s="492" customFormat="1" x14ac:dyDescent="0.2">
      <c r="A68" s="489"/>
      <c r="B68" s="616"/>
      <c r="C68" s="617"/>
      <c r="D68" s="618"/>
      <c r="E68" s="617"/>
      <c r="F68" s="618"/>
      <c r="G68" s="693"/>
      <c r="H68" s="619">
        <f t="shared" si="33"/>
        <v>0</v>
      </c>
      <c r="I68" s="491" t="str">
        <f t="shared" si="2"/>
        <v>-</v>
      </c>
      <c r="J68" s="695"/>
      <c r="K68" s="490">
        <f t="shared" si="3"/>
        <v>0</v>
      </c>
      <c r="L68" s="491" t="str">
        <f t="shared" si="4"/>
        <v>-</v>
      </c>
      <c r="M68" s="817"/>
    </row>
    <row r="69" spans="1:14" ht="33" x14ac:dyDescent="0.2">
      <c r="A69" s="434">
        <v>15215</v>
      </c>
      <c r="B69" s="595" t="s">
        <v>533</v>
      </c>
      <c r="C69" s="613">
        <v>47069</v>
      </c>
      <c r="D69" s="614"/>
      <c r="E69" s="613">
        <v>47069</v>
      </c>
      <c r="F69" s="614"/>
      <c r="G69" s="692">
        <f>G70</f>
        <v>33275</v>
      </c>
      <c r="H69" s="615">
        <f t="shared" si="33"/>
        <v>33275</v>
      </c>
      <c r="I69" s="488" t="str">
        <f t="shared" ref="I69:I132" si="34">IFERROR(H69/ABS(F69), "-")</f>
        <v>-</v>
      </c>
      <c r="J69" s="695"/>
      <c r="K69" s="487">
        <f t="shared" ref="K69:K105" si="35">G69-E69</f>
        <v>-13794</v>
      </c>
      <c r="L69" s="488">
        <f t="shared" ref="L69:L132" si="36">IFERROR(K69/ABS(E69), "-")</f>
        <v>-0.29305912596401029</v>
      </c>
      <c r="M69" s="817"/>
    </row>
    <row r="70" spans="1:14" s="492" customFormat="1" ht="18.75" customHeight="1" x14ac:dyDescent="0.2">
      <c r="A70" s="489"/>
      <c r="B70" s="616"/>
      <c r="C70" s="617"/>
      <c r="D70" s="618"/>
      <c r="E70" s="617"/>
      <c r="F70" s="618"/>
      <c r="G70" s="693">
        <v>33275</v>
      </c>
      <c r="H70" s="619">
        <f t="shared" si="33"/>
        <v>33275</v>
      </c>
      <c r="I70" s="491" t="str">
        <f t="shared" si="34"/>
        <v>-</v>
      </c>
      <c r="J70" s="695"/>
      <c r="K70" s="490">
        <f t="shared" si="35"/>
        <v>33275</v>
      </c>
      <c r="L70" s="491" t="str">
        <f t="shared" si="36"/>
        <v>-</v>
      </c>
      <c r="M70" s="817"/>
    </row>
    <row r="71" spans="1:14" s="492" customFormat="1" x14ac:dyDescent="0.2">
      <c r="A71" s="489"/>
      <c r="B71" s="616"/>
      <c r="C71" s="617"/>
      <c r="D71" s="618"/>
      <c r="E71" s="617"/>
      <c r="F71" s="618"/>
      <c r="G71" s="693"/>
      <c r="H71" s="619">
        <f t="shared" si="33"/>
        <v>0</v>
      </c>
      <c r="I71" s="491" t="str">
        <f t="shared" si="34"/>
        <v>-</v>
      </c>
      <c r="J71" s="696"/>
      <c r="K71" s="490">
        <f t="shared" si="35"/>
        <v>0</v>
      </c>
      <c r="L71" s="491" t="str">
        <f t="shared" si="36"/>
        <v>-</v>
      </c>
      <c r="M71" s="818"/>
    </row>
    <row r="72" spans="1:14" ht="19.5" customHeight="1" x14ac:dyDescent="0.2">
      <c r="A72" s="485">
        <v>15220</v>
      </c>
      <c r="B72" s="610" t="s">
        <v>312</v>
      </c>
      <c r="C72" s="611">
        <f t="shared" ref="C72:D72" ca="1" si="37">C73+C76+C79+C82+C85</f>
        <v>776172</v>
      </c>
      <c r="D72" s="611">
        <f t="shared" si="37"/>
        <v>1093300</v>
      </c>
      <c r="E72" s="611">
        <f t="shared" ref="E72:F72" ca="1" si="38">E73+E76+E79+E82+E85</f>
        <v>776172</v>
      </c>
      <c r="F72" s="611">
        <f t="shared" si="38"/>
        <v>1093300</v>
      </c>
      <c r="G72" s="691">
        <f>G85</f>
        <v>789907</v>
      </c>
      <c r="H72" s="612">
        <f t="shared" si="33"/>
        <v>-303393</v>
      </c>
      <c r="I72" s="437">
        <f>IFERROR(H72/ABS(F72), "-")</f>
        <v>-0.27750205798957284</v>
      </c>
      <c r="J72" s="819" t="s">
        <v>870</v>
      </c>
      <c r="K72" s="486">
        <f t="shared" ca="1" si="35"/>
        <v>13735</v>
      </c>
      <c r="L72" s="437">
        <f t="shared" ca="1" si="36"/>
        <v>1.769581999866009E-2</v>
      </c>
      <c r="M72" s="825" t="s">
        <v>871</v>
      </c>
    </row>
    <row r="73" spans="1:14" ht="49.5" x14ac:dyDescent="0.2">
      <c r="A73" s="434">
        <v>15221</v>
      </c>
      <c r="B73" s="595" t="s">
        <v>534</v>
      </c>
      <c r="C73" s="613">
        <f ca="1">SUM(OFFSET(C76,-1,0):OFFSET(C73,1,0))</f>
        <v>0</v>
      </c>
      <c r="D73" s="614"/>
      <c r="E73" s="613">
        <f ca="1">SUM(OFFSET(E76,-1,0):OFFSET(E73,1,0))</f>
        <v>0</v>
      </c>
      <c r="F73" s="614"/>
      <c r="G73" s="692">
        <f ca="1">SUM(OFFSET(G76,-1,0):OFFSET(G73,1,0))</f>
        <v>0</v>
      </c>
      <c r="H73" s="615">
        <f t="shared" ca="1" si="33"/>
        <v>0</v>
      </c>
      <c r="I73" s="488" t="str">
        <f t="shared" ca="1" si="34"/>
        <v>-</v>
      </c>
      <c r="J73" s="820"/>
      <c r="K73" s="487">
        <f t="shared" ca="1" si="35"/>
        <v>0</v>
      </c>
      <c r="L73" s="488" t="str">
        <f t="shared" ca="1" si="36"/>
        <v>-</v>
      </c>
      <c r="M73" s="826"/>
    </row>
    <row r="74" spans="1:14" s="492" customFormat="1" x14ac:dyDescent="0.2">
      <c r="A74" s="489"/>
      <c r="B74" s="616"/>
      <c r="C74" s="617"/>
      <c r="D74" s="618"/>
      <c r="E74" s="617"/>
      <c r="F74" s="618"/>
      <c r="G74" s="693"/>
      <c r="H74" s="619">
        <f t="shared" si="33"/>
        <v>0</v>
      </c>
      <c r="I74" s="491" t="str">
        <f t="shared" si="34"/>
        <v>-</v>
      </c>
      <c r="J74" s="820"/>
      <c r="K74" s="490">
        <f t="shared" si="35"/>
        <v>0</v>
      </c>
      <c r="L74" s="491" t="str">
        <f t="shared" si="36"/>
        <v>-</v>
      </c>
      <c r="M74" s="826"/>
    </row>
    <row r="75" spans="1:14" s="492" customFormat="1" x14ac:dyDescent="0.2">
      <c r="A75" s="489"/>
      <c r="B75" s="616"/>
      <c r="C75" s="617"/>
      <c r="D75" s="618"/>
      <c r="E75" s="617"/>
      <c r="F75" s="618"/>
      <c r="G75" s="693"/>
      <c r="H75" s="619">
        <f t="shared" si="33"/>
        <v>0</v>
      </c>
      <c r="I75" s="491" t="str">
        <f t="shared" si="34"/>
        <v>-</v>
      </c>
      <c r="J75" s="820"/>
      <c r="K75" s="490">
        <f t="shared" si="35"/>
        <v>0</v>
      </c>
      <c r="L75" s="491" t="str">
        <f t="shared" si="36"/>
        <v>-</v>
      </c>
      <c r="M75" s="826"/>
    </row>
    <row r="76" spans="1:14" ht="49.5" x14ac:dyDescent="0.2">
      <c r="A76" s="434">
        <v>15222</v>
      </c>
      <c r="B76" s="595" t="s">
        <v>530</v>
      </c>
      <c r="C76" s="613">
        <f ca="1">SUM(OFFSET(C79,-1,0):OFFSET(C76,1,0))</f>
        <v>0</v>
      </c>
      <c r="D76" s="614"/>
      <c r="E76" s="613">
        <f ca="1">SUM(OFFSET(E79,-1,0):OFFSET(E76,1,0))</f>
        <v>0</v>
      </c>
      <c r="F76" s="614"/>
      <c r="G76" s="692">
        <f ca="1">SUM(OFFSET(G79,-1,0):OFFSET(G76,1,0))</f>
        <v>0</v>
      </c>
      <c r="H76" s="615">
        <f t="shared" ca="1" si="33"/>
        <v>0</v>
      </c>
      <c r="I76" s="488" t="str">
        <f t="shared" ca="1" si="34"/>
        <v>-</v>
      </c>
      <c r="J76" s="820"/>
      <c r="K76" s="487">
        <f t="shared" ca="1" si="35"/>
        <v>0</v>
      </c>
      <c r="L76" s="488" t="str">
        <f t="shared" ca="1" si="36"/>
        <v>-</v>
      </c>
      <c r="M76" s="826"/>
    </row>
    <row r="77" spans="1:14" s="492" customFormat="1" x14ac:dyDescent="0.2">
      <c r="A77" s="489"/>
      <c r="B77" s="616"/>
      <c r="C77" s="617"/>
      <c r="D77" s="618"/>
      <c r="E77" s="617"/>
      <c r="F77" s="618"/>
      <c r="G77" s="693"/>
      <c r="H77" s="619">
        <f t="shared" si="33"/>
        <v>0</v>
      </c>
      <c r="I77" s="491" t="str">
        <f t="shared" si="34"/>
        <v>-</v>
      </c>
      <c r="J77" s="820"/>
      <c r="K77" s="490">
        <f t="shared" si="35"/>
        <v>0</v>
      </c>
      <c r="L77" s="491" t="str">
        <f t="shared" si="36"/>
        <v>-</v>
      </c>
      <c r="M77" s="826"/>
      <c r="N77" s="493"/>
    </row>
    <row r="78" spans="1:14" s="492" customFormat="1" x14ac:dyDescent="0.2">
      <c r="A78" s="489"/>
      <c r="B78" s="616"/>
      <c r="C78" s="617"/>
      <c r="D78" s="618"/>
      <c r="E78" s="617"/>
      <c r="F78" s="618"/>
      <c r="G78" s="693"/>
      <c r="H78" s="619">
        <f t="shared" si="33"/>
        <v>0</v>
      </c>
      <c r="I78" s="491" t="str">
        <f t="shared" si="34"/>
        <v>-</v>
      </c>
      <c r="J78" s="820"/>
      <c r="K78" s="490">
        <f t="shared" si="35"/>
        <v>0</v>
      </c>
      <c r="L78" s="491" t="str">
        <f t="shared" si="36"/>
        <v>-</v>
      </c>
      <c r="M78" s="826"/>
      <c r="N78" s="493"/>
    </row>
    <row r="79" spans="1:14" ht="39" customHeight="1" x14ac:dyDescent="0.2">
      <c r="A79" s="434">
        <v>15223</v>
      </c>
      <c r="B79" s="595" t="s">
        <v>531</v>
      </c>
      <c r="C79" s="613">
        <f ca="1">SUM(OFFSET(C82,-1,0):OFFSET(C79,1,0))</f>
        <v>0</v>
      </c>
      <c r="D79" s="614"/>
      <c r="E79" s="613">
        <f ca="1">SUM(OFFSET(E82,-1,0):OFFSET(E79,1,0))</f>
        <v>0</v>
      </c>
      <c r="F79" s="614"/>
      <c r="G79" s="692">
        <f ca="1">SUM(OFFSET(G82,-1,0):OFFSET(G79,1,0))</f>
        <v>0</v>
      </c>
      <c r="H79" s="615">
        <f t="shared" ca="1" si="33"/>
        <v>0</v>
      </c>
      <c r="I79" s="488" t="str">
        <f t="shared" ca="1" si="34"/>
        <v>-</v>
      </c>
      <c r="J79" s="820"/>
      <c r="K79" s="487">
        <f t="shared" ca="1" si="35"/>
        <v>0</v>
      </c>
      <c r="L79" s="488" t="str">
        <f t="shared" ca="1" si="36"/>
        <v>-</v>
      </c>
      <c r="M79" s="826"/>
      <c r="N79" s="494"/>
    </row>
    <row r="80" spans="1:14" s="492" customFormat="1" ht="39" customHeight="1" x14ac:dyDescent="0.2">
      <c r="A80" s="489"/>
      <c r="B80" s="616"/>
      <c r="C80" s="617"/>
      <c r="D80" s="618"/>
      <c r="E80" s="617"/>
      <c r="F80" s="618"/>
      <c r="G80" s="693"/>
      <c r="H80" s="619">
        <f t="shared" si="33"/>
        <v>0</v>
      </c>
      <c r="I80" s="491" t="str">
        <f t="shared" si="34"/>
        <v>-</v>
      </c>
      <c r="J80" s="820"/>
      <c r="K80" s="490">
        <f t="shared" si="35"/>
        <v>0</v>
      </c>
      <c r="L80" s="491" t="str">
        <f t="shared" si="36"/>
        <v>-</v>
      </c>
      <c r="M80" s="826"/>
      <c r="N80" s="493"/>
    </row>
    <row r="81" spans="1:14" s="492" customFormat="1" ht="39" customHeight="1" x14ac:dyDescent="0.2">
      <c r="A81" s="489"/>
      <c r="B81" s="616"/>
      <c r="C81" s="617"/>
      <c r="D81" s="618"/>
      <c r="E81" s="617"/>
      <c r="F81" s="618"/>
      <c r="G81" s="693"/>
      <c r="H81" s="619">
        <f t="shared" si="33"/>
        <v>0</v>
      </c>
      <c r="I81" s="491" t="str">
        <f t="shared" si="34"/>
        <v>-</v>
      </c>
      <c r="J81" s="820"/>
      <c r="K81" s="490">
        <f t="shared" si="35"/>
        <v>0</v>
      </c>
      <c r="L81" s="491" t="str">
        <f t="shared" si="36"/>
        <v>-</v>
      </c>
      <c r="M81" s="826"/>
      <c r="N81" s="493"/>
    </row>
    <row r="82" spans="1:14" ht="33" x14ac:dyDescent="0.2">
      <c r="A82" s="434">
        <v>15224</v>
      </c>
      <c r="B82" s="595" t="s">
        <v>532</v>
      </c>
      <c r="C82" s="613">
        <f ca="1">SUM(OFFSET(C85,-1,0):OFFSET(C82,1,0))</f>
        <v>0</v>
      </c>
      <c r="D82" s="614"/>
      <c r="E82" s="613">
        <f ca="1">SUM(OFFSET(E85,-1,0):OFFSET(E82,1,0))</f>
        <v>0</v>
      </c>
      <c r="F82" s="614"/>
      <c r="G82" s="692">
        <f ca="1">SUM(OFFSET(G85,-1,0):OFFSET(G82,1,0))</f>
        <v>0</v>
      </c>
      <c r="H82" s="615">
        <f t="shared" ca="1" si="33"/>
        <v>0</v>
      </c>
      <c r="I82" s="488" t="str">
        <f t="shared" ca="1" si="34"/>
        <v>-</v>
      </c>
      <c r="J82" s="820"/>
      <c r="K82" s="487">
        <f t="shared" ca="1" si="35"/>
        <v>0</v>
      </c>
      <c r="L82" s="488" t="str">
        <f t="shared" ca="1" si="36"/>
        <v>-</v>
      </c>
      <c r="M82" s="826"/>
      <c r="N82" s="494"/>
    </row>
    <row r="83" spans="1:14" s="492" customFormat="1" x14ac:dyDescent="0.2">
      <c r="A83" s="489"/>
      <c r="B83" s="616"/>
      <c r="C83" s="617"/>
      <c r="D83" s="618"/>
      <c r="E83" s="617"/>
      <c r="F83" s="618"/>
      <c r="G83" s="693"/>
      <c r="H83" s="619">
        <f t="shared" si="33"/>
        <v>0</v>
      </c>
      <c r="I83" s="491" t="str">
        <f t="shared" si="34"/>
        <v>-</v>
      </c>
      <c r="J83" s="820"/>
      <c r="K83" s="490">
        <f t="shared" si="35"/>
        <v>0</v>
      </c>
      <c r="L83" s="491" t="str">
        <f t="shared" si="36"/>
        <v>-</v>
      </c>
      <c r="M83" s="826"/>
      <c r="N83" s="493"/>
    </row>
    <row r="84" spans="1:14" s="492" customFormat="1" x14ac:dyDescent="0.2">
      <c r="A84" s="489"/>
      <c r="B84" s="616"/>
      <c r="C84" s="617"/>
      <c r="D84" s="618"/>
      <c r="E84" s="617"/>
      <c r="F84" s="618"/>
      <c r="G84" s="693"/>
      <c r="H84" s="619">
        <f t="shared" si="33"/>
        <v>0</v>
      </c>
      <c r="I84" s="491" t="str">
        <f t="shared" si="34"/>
        <v>-</v>
      </c>
      <c r="J84" s="820"/>
      <c r="K84" s="490">
        <f t="shared" si="35"/>
        <v>0</v>
      </c>
      <c r="L84" s="491" t="str">
        <f t="shared" si="36"/>
        <v>-</v>
      </c>
      <c r="M84" s="826"/>
      <c r="N84" s="493"/>
    </row>
    <row r="85" spans="1:14" ht="33" x14ac:dyDescent="0.2">
      <c r="A85" s="434">
        <v>15225</v>
      </c>
      <c r="B85" s="595" t="s">
        <v>533</v>
      </c>
      <c r="C85" s="614">
        <f ca="1">SUM(OFFSET(C88,-1,0):OFFSET(C85,1,0))</f>
        <v>776172</v>
      </c>
      <c r="D85" s="614">
        <f t="shared" ref="D85:F85" si="39">D86+D87</f>
        <v>1093300</v>
      </c>
      <c r="E85" s="614">
        <f ca="1">SUM(OFFSET(E88,-1,0):OFFSET(E85,1,0))</f>
        <v>776172</v>
      </c>
      <c r="F85" s="614">
        <f t="shared" si="39"/>
        <v>1093300</v>
      </c>
      <c r="G85" s="692">
        <v>789907</v>
      </c>
      <c r="H85" s="615">
        <f t="shared" si="33"/>
        <v>-303393</v>
      </c>
      <c r="I85" s="488">
        <f t="shared" si="34"/>
        <v>-0.27750205798957284</v>
      </c>
      <c r="J85" s="820"/>
      <c r="K85" s="487">
        <f t="shared" ca="1" si="35"/>
        <v>13735</v>
      </c>
      <c r="L85" s="488">
        <f t="shared" ca="1" si="36"/>
        <v>1.769581999866009E-2</v>
      </c>
      <c r="M85" s="826"/>
      <c r="N85" s="494"/>
    </row>
    <row r="86" spans="1:14" s="492" customFormat="1" x14ac:dyDescent="0.2">
      <c r="A86" s="489"/>
      <c r="B86" s="616"/>
      <c r="C86" s="617"/>
      <c r="D86" s="618"/>
      <c r="E86" s="617"/>
      <c r="F86" s="618"/>
      <c r="G86" s="693"/>
      <c r="H86" s="619">
        <f t="shared" si="33"/>
        <v>0</v>
      </c>
      <c r="I86" s="491" t="str">
        <f t="shared" si="34"/>
        <v>-</v>
      </c>
      <c r="J86" s="820"/>
      <c r="K86" s="490">
        <f t="shared" si="35"/>
        <v>0</v>
      </c>
      <c r="L86" s="491" t="str">
        <f t="shared" si="36"/>
        <v>-</v>
      </c>
      <c r="M86" s="826"/>
      <c r="N86" s="493"/>
    </row>
    <row r="87" spans="1:14" s="492" customFormat="1" x14ac:dyDescent="0.2">
      <c r="A87" s="489"/>
      <c r="B87" s="616"/>
      <c r="C87" s="617">
        <v>776172</v>
      </c>
      <c r="D87" s="618">
        <v>1093300</v>
      </c>
      <c r="E87" s="617">
        <v>776172</v>
      </c>
      <c r="F87" s="618">
        <v>1093300</v>
      </c>
      <c r="G87" s="693">
        <v>789907</v>
      </c>
      <c r="H87" s="619">
        <f t="shared" si="33"/>
        <v>-303393</v>
      </c>
      <c r="I87" s="491">
        <f t="shared" si="34"/>
        <v>-0.27750205798957284</v>
      </c>
      <c r="J87" s="821"/>
      <c r="K87" s="490">
        <f t="shared" si="35"/>
        <v>13735</v>
      </c>
      <c r="L87" s="491">
        <f t="shared" si="36"/>
        <v>1.769581999866009E-2</v>
      </c>
      <c r="M87" s="826"/>
      <c r="N87" s="493"/>
    </row>
    <row r="88" spans="1:14" ht="19.5" customHeight="1" x14ac:dyDescent="0.2">
      <c r="A88" s="485">
        <v>15230</v>
      </c>
      <c r="B88" s="610" t="s">
        <v>313</v>
      </c>
      <c r="C88" s="611">
        <f ca="1">C89+C92+C95+C98+C101</f>
        <v>514861</v>
      </c>
      <c r="D88" s="611">
        <f t="shared" ref="D88" si="40">D89+D92+D95+D98+D101</f>
        <v>200000</v>
      </c>
      <c r="E88" s="611">
        <f ca="1">E89+E92+E95+E98+E101</f>
        <v>514861</v>
      </c>
      <c r="F88" s="611">
        <f t="shared" ref="F88" si="41">F89+F92+F95+F98+F101</f>
        <v>200000</v>
      </c>
      <c r="G88" s="691">
        <f ca="1">G89+G92+G95+G98+G101</f>
        <v>265505</v>
      </c>
      <c r="H88" s="612">
        <f t="shared" ca="1" si="33"/>
        <v>65505</v>
      </c>
      <c r="I88" s="437">
        <f t="shared" ca="1" si="34"/>
        <v>0.32752500000000001</v>
      </c>
      <c r="J88" s="697"/>
      <c r="K88" s="486">
        <f t="shared" ca="1" si="35"/>
        <v>-249356</v>
      </c>
      <c r="L88" s="437">
        <f t="shared" ca="1" si="36"/>
        <v>-0.48431712637002999</v>
      </c>
      <c r="M88" s="826"/>
      <c r="N88" s="494"/>
    </row>
    <row r="89" spans="1:14" ht="56.25" customHeight="1" x14ac:dyDescent="0.2">
      <c r="A89" s="434">
        <v>15231</v>
      </c>
      <c r="B89" s="595" t="s">
        <v>534</v>
      </c>
      <c r="C89" s="613">
        <f ca="1">SUM(OFFSET(C92,-1,0):OFFSET(C89,1,0))</f>
        <v>0</v>
      </c>
      <c r="D89" s="614"/>
      <c r="E89" s="613">
        <f ca="1">SUM(OFFSET(E92,-1,0):OFFSET(E89,1,0))</f>
        <v>0</v>
      </c>
      <c r="F89" s="614"/>
      <c r="G89" s="692">
        <f ca="1">SUM(OFFSET(G92,-1,0):OFFSET(G89,1,0))</f>
        <v>0</v>
      </c>
      <c r="H89" s="615">
        <f t="shared" ca="1" si="33"/>
        <v>0</v>
      </c>
      <c r="I89" s="488" t="str">
        <f t="shared" ca="1" si="34"/>
        <v>-</v>
      </c>
      <c r="J89" s="827" t="s">
        <v>868</v>
      </c>
      <c r="K89" s="487">
        <f t="shared" ca="1" si="35"/>
        <v>0</v>
      </c>
      <c r="L89" s="495" t="str">
        <f t="shared" ca="1" si="36"/>
        <v>-</v>
      </c>
      <c r="M89" s="825" t="s">
        <v>869</v>
      </c>
      <c r="N89" s="494"/>
    </row>
    <row r="90" spans="1:14" s="492" customFormat="1" ht="18.75" customHeight="1" x14ac:dyDescent="0.2">
      <c r="A90" s="489"/>
      <c r="B90" s="616"/>
      <c r="C90" s="617"/>
      <c r="D90" s="618"/>
      <c r="E90" s="617"/>
      <c r="F90" s="618"/>
      <c r="G90" s="693"/>
      <c r="H90" s="619">
        <f t="shared" si="33"/>
        <v>0</v>
      </c>
      <c r="I90" s="491" t="str">
        <f t="shared" si="34"/>
        <v>-</v>
      </c>
      <c r="J90" s="827"/>
      <c r="K90" s="490">
        <f t="shared" si="35"/>
        <v>0</v>
      </c>
      <c r="L90" s="491" t="str">
        <f t="shared" si="36"/>
        <v>-</v>
      </c>
      <c r="M90" s="826"/>
      <c r="N90" s="493"/>
    </row>
    <row r="91" spans="1:14" s="492" customFormat="1" ht="18.75" customHeight="1" x14ac:dyDescent="0.2">
      <c r="A91" s="489"/>
      <c r="B91" s="616"/>
      <c r="C91" s="617"/>
      <c r="D91" s="618"/>
      <c r="E91" s="617"/>
      <c r="F91" s="618"/>
      <c r="G91" s="693"/>
      <c r="H91" s="619">
        <f t="shared" si="33"/>
        <v>0</v>
      </c>
      <c r="I91" s="491" t="str">
        <f t="shared" si="34"/>
        <v>-</v>
      </c>
      <c r="J91" s="827"/>
      <c r="K91" s="490">
        <f t="shared" si="35"/>
        <v>0</v>
      </c>
      <c r="L91" s="491" t="str">
        <f t="shared" si="36"/>
        <v>-</v>
      </c>
      <c r="M91" s="826"/>
      <c r="N91" s="493"/>
    </row>
    <row r="92" spans="1:14" ht="56.25" customHeight="1" x14ac:dyDescent="0.2">
      <c r="A92" s="434">
        <v>15232</v>
      </c>
      <c r="B92" s="595" t="s">
        <v>530</v>
      </c>
      <c r="C92" s="613">
        <f ca="1">SUM(OFFSET(C95,-1,0):OFFSET(C92,1,0))</f>
        <v>0</v>
      </c>
      <c r="D92" s="614"/>
      <c r="E92" s="613">
        <f ca="1">SUM(OFFSET(E95,-1,0):OFFSET(E92,1,0))</f>
        <v>0</v>
      </c>
      <c r="F92" s="614"/>
      <c r="G92" s="692">
        <f ca="1">SUM(OFFSET(G95,-1,0):OFFSET(G92,1,0))</f>
        <v>0</v>
      </c>
      <c r="H92" s="615">
        <f t="shared" ca="1" si="33"/>
        <v>0</v>
      </c>
      <c r="I92" s="488" t="str">
        <f t="shared" ca="1" si="34"/>
        <v>-</v>
      </c>
      <c r="J92" s="827"/>
      <c r="K92" s="487">
        <f t="shared" ca="1" si="35"/>
        <v>0</v>
      </c>
      <c r="L92" s="488" t="str">
        <f t="shared" ca="1" si="36"/>
        <v>-</v>
      </c>
      <c r="M92" s="826"/>
      <c r="N92" s="494"/>
    </row>
    <row r="93" spans="1:14" s="492" customFormat="1" ht="246.75" customHeight="1" x14ac:dyDescent="0.2">
      <c r="A93" s="489"/>
      <c r="B93" s="616"/>
      <c r="C93" s="617"/>
      <c r="D93" s="618"/>
      <c r="E93" s="617"/>
      <c r="F93" s="618"/>
      <c r="G93" s="693"/>
      <c r="H93" s="619">
        <f t="shared" si="33"/>
        <v>0</v>
      </c>
      <c r="I93" s="491" t="str">
        <f t="shared" si="34"/>
        <v>-</v>
      </c>
      <c r="J93" s="827"/>
      <c r="K93" s="490">
        <f t="shared" si="35"/>
        <v>0</v>
      </c>
      <c r="L93" s="491" t="str">
        <f t="shared" si="36"/>
        <v>-</v>
      </c>
      <c r="M93" s="826"/>
    </row>
    <row r="94" spans="1:14" s="492" customFormat="1" ht="18.75" customHeight="1" x14ac:dyDescent="0.2">
      <c r="A94" s="489"/>
      <c r="B94" s="616"/>
      <c r="C94" s="617"/>
      <c r="D94" s="618"/>
      <c r="E94" s="617"/>
      <c r="F94" s="618"/>
      <c r="G94" s="693"/>
      <c r="H94" s="619">
        <f t="shared" si="33"/>
        <v>0</v>
      </c>
      <c r="I94" s="491" t="str">
        <f t="shared" si="34"/>
        <v>-</v>
      </c>
      <c r="J94" s="827"/>
      <c r="K94" s="490">
        <f t="shared" si="35"/>
        <v>0</v>
      </c>
      <c r="L94" s="491" t="str">
        <f t="shared" si="36"/>
        <v>-</v>
      </c>
      <c r="M94" s="826"/>
      <c r="N94" s="493"/>
    </row>
    <row r="95" spans="1:14" ht="38.25" customHeight="1" x14ac:dyDescent="0.2">
      <c r="A95" s="434">
        <v>15233</v>
      </c>
      <c r="B95" s="595" t="s">
        <v>531</v>
      </c>
      <c r="C95" s="613">
        <f ca="1">SUM(OFFSET(C98,-1,0):OFFSET(C95,1,0))</f>
        <v>0</v>
      </c>
      <c r="D95" s="614"/>
      <c r="E95" s="613">
        <f ca="1">SUM(OFFSET(E98,-1,0):OFFSET(E95,1,0))</f>
        <v>0</v>
      </c>
      <c r="F95" s="614"/>
      <c r="G95" s="692">
        <f ca="1">SUM(OFFSET(G98,-1,0):OFFSET(G95,1,0))</f>
        <v>0</v>
      </c>
      <c r="H95" s="615">
        <f t="shared" ca="1" si="33"/>
        <v>0</v>
      </c>
      <c r="I95" s="488" t="str">
        <f t="shared" ca="1" si="34"/>
        <v>-</v>
      </c>
      <c r="J95" s="827"/>
      <c r="K95" s="487">
        <f t="shared" ca="1" si="35"/>
        <v>0</v>
      </c>
      <c r="L95" s="488" t="str">
        <f t="shared" ca="1" si="36"/>
        <v>-</v>
      </c>
      <c r="M95" s="828"/>
      <c r="N95" s="494"/>
    </row>
    <row r="96" spans="1:14" s="492" customFormat="1" ht="38.25" customHeight="1" x14ac:dyDescent="0.2">
      <c r="A96" s="489"/>
      <c r="B96" s="616"/>
      <c r="C96" s="617"/>
      <c r="D96" s="618"/>
      <c r="E96" s="617"/>
      <c r="F96" s="618"/>
      <c r="G96" s="693"/>
      <c r="H96" s="619">
        <f t="shared" si="33"/>
        <v>0</v>
      </c>
      <c r="I96" s="491" t="str">
        <f t="shared" si="34"/>
        <v>-</v>
      </c>
      <c r="J96" s="827"/>
      <c r="K96" s="490">
        <f t="shared" si="35"/>
        <v>0</v>
      </c>
      <c r="L96" s="491" t="str">
        <f t="shared" si="36"/>
        <v>-</v>
      </c>
      <c r="M96" s="698"/>
      <c r="N96" s="493"/>
    </row>
    <row r="97" spans="1:14" s="492" customFormat="1" ht="38.25" customHeight="1" x14ac:dyDescent="0.2">
      <c r="A97" s="489"/>
      <c r="B97" s="616"/>
      <c r="C97" s="617"/>
      <c r="D97" s="618"/>
      <c r="E97" s="617"/>
      <c r="F97" s="618"/>
      <c r="G97" s="693"/>
      <c r="H97" s="619">
        <f t="shared" si="33"/>
        <v>0</v>
      </c>
      <c r="I97" s="491" t="str">
        <f t="shared" si="34"/>
        <v>-</v>
      </c>
      <c r="J97" s="827"/>
      <c r="K97" s="490">
        <f t="shared" si="35"/>
        <v>0</v>
      </c>
      <c r="L97" s="491" t="str">
        <f t="shared" si="36"/>
        <v>-</v>
      </c>
      <c r="M97" s="698"/>
      <c r="N97" s="493"/>
    </row>
    <row r="98" spans="1:14" ht="37.5" customHeight="1" x14ac:dyDescent="0.2">
      <c r="A98" s="434">
        <v>15234</v>
      </c>
      <c r="B98" s="595" t="s">
        <v>532</v>
      </c>
      <c r="C98" s="613">
        <f ca="1">SUM(OFFSET(C101,-1,0):OFFSET(C98,1,0))</f>
        <v>0</v>
      </c>
      <c r="D98" s="614"/>
      <c r="E98" s="613">
        <f ca="1">SUM(OFFSET(E101,-1,0):OFFSET(E98,1,0))</f>
        <v>0</v>
      </c>
      <c r="F98" s="614"/>
      <c r="G98" s="692">
        <f ca="1">SUM(OFFSET(G101,-1,0):OFFSET(G98,1,0))</f>
        <v>0</v>
      </c>
      <c r="H98" s="615">
        <f t="shared" ca="1" si="33"/>
        <v>0</v>
      </c>
      <c r="I98" s="488" t="str">
        <f t="shared" ca="1" si="34"/>
        <v>-</v>
      </c>
      <c r="J98" s="827"/>
      <c r="K98" s="487">
        <f t="shared" ca="1" si="35"/>
        <v>0</v>
      </c>
      <c r="L98" s="488" t="str">
        <f t="shared" ca="1" si="36"/>
        <v>-</v>
      </c>
      <c r="M98" s="698"/>
      <c r="N98" s="494"/>
    </row>
    <row r="99" spans="1:14" s="492" customFormat="1" ht="18.75" customHeight="1" x14ac:dyDescent="0.2">
      <c r="A99" s="489"/>
      <c r="B99" s="616"/>
      <c r="C99" s="617"/>
      <c r="D99" s="618"/>
      <c r="E99" s="617"/>
      <c r="F99" s="618"/>
      <c r="G99" s="693"/>
      <c r="H99" s="619">
        <f t="shared" si="33"/>
        <v>0</v>
      </c>
      <c r="I99" s="491" t="str">
        <f t="shared" si="34"/>
        <v>-</v>
      </c>
      <c r="J99" s="827"/>
      <c r="K99" s="490">
        <f t="shared" si="35"/>
        <v>0</v>
      </c>
      <c r="L99" s="491" t="str">
        <f t="shared" si="36"/>
        <v>-</v>
      </c>
      <c r="M99" s="698"/>
      <c r="N99" s="493"/>
    </row>
    <row r="100" spans="1:14" s="492" customFormat="1" ht="18.75" customHeight="1" x14ac:dyDescent="0.2">
      <c r="A100" s="489"/>
      <c r="B100" s="616"/>
      <c r="C100" s="617"/>
      <c r="D100" s="618"/>
      <c r="E100" s="617"/>
      <c r="F100" s="618"/>
      <c r="G100" s="693"/>
      <c r="H100" s="619">
        <f t="shared" si="33"/>
        <v>0</v>
      </c>
      <c r="I100" s="491" t="str">
        <f t="shared" si="34"/>
        <v>-</v>
      </c>
      <c r="J100" s="827"/>
      <c r="K100" s="490">
        <f t="shared" si="35"/>
        <v>0</v>
      </c>
      <c r="L100" s="491" t="str">
        <f t="shared" si="36"/>
        <v>-</v>
      </c>
      <c r="M100" s="698"/>
      <c r="N100" s="493"/>
    </row>
    <row r="101" spans="1:14" ht="93.75" customHeight="1" x14ac:dyDescent="0.2">
      <c r="A101" s="434">
        <v>15234</v>
      </c>
      <c r="B101" s="595" t="s">
        <v>533</v>
      </c>
      <c r="C101" s="613">
        <v>514861</v>
      </c>
      <c r="D101" s="614">
        <f t="shared" ref="D101:F101" si="42">D102</f>
        <v>200000</v>
      </c>
      <c r="E101" s="613">
        <v>514861</v>
      </c>
      <c r="F101" s="614">
        <f t="shared" si="42"/>
        <v>200000</v>
      </c>
      <c r="G101" s="692">
        <v>265505</v>
      </c>
      <c r="H101" s="615">
        <f t="shared" si="33"/>
        <v>65505</v>
      </c>
      <c r="I101" s="488">
        <f t="shared" si="34"/>
        <v>0.32752500000000001</v>
      </c>
      <c r="J101" s="827"/>
      <c r="K101" s="487">
        <f t="shared" si="35"/>
        <v>-249356</v>
      </c>
      <c r="L101" s="488">
        <f t="shared" si="36"/>
        <v>-0.48431712637002999</v>
      </c>
      <c r="M101" s="698"/>
      <c r="N101" s="494"/>
    </row>
    <row r="102" spans="1:14" s="492" customFormat="1" ht="18.75" customHeight="1" x14ac:dyDescent="0.2">
      <c r="A102" s="489"/>
      <c r="B102" s="616"/>
      <c r="C102" s="617"/>
      <c r="D102" s="618">
        <v>200000</v>
      </c>
      <c r="E102" s="617"/>
      <c r="F102" s="618">
        <v>200000</v>
      </c>
      <c r="G102" s="693">
        <v>0</v>
      </c>
      <c r="H102" s="619">
        <f t="shared" si="33"/>
        <v>-200000</v>
      </c>
      <c r="I102" s="491">
        <f t="shared" si="34"/>
        <v>-1</v>
      </c>
      <c r="J102" s="827"/>
      <c r="K102" s="490">
        <f t="shared" si="35"/>
        <v>0</v>
      </c>
      <c r="L102" s="491" t="str">
        <f t="shared" si="36"/>
        <v>-</v>
      </c>
      <c r="M102" s="698"/>
      <c r="N102" s="493"/>
    </row>
    <row r="103" spans="1:14" s="492" customFormat="1" ht="18.75" customHeight="1" x14ac:dyDescent="0.2">
      <c r="A103" s="489"/>
      <c r="B103" s="616"/>
      <c r="C103" s="617"/>
      <c r="D103" s="618"/>
      <c r="E103" s="617"/>
      <c r="F103" s="618"/>
      <c r="G103" s="693">
        <v>0</v>
      </c>
      <c r="H103" s="619">
        <f t="shared" si="33"/>
        <v>0</v>
      </c>
      <c r="I103" s="461" t="str">
        <f t="shared" si="34"/>
        <v>-</v>
      </c>
      <c r="J103" s="827"/>
      <c r="K103" s="490">
        <f t="shared" si="35"/>
        <v>0</v>
      </c>
      <c r="L103" s="491" t="str">
        <f t="shared" si="36"/>
        <v>-</v>
      </c>
      <c r="M103" s="699"/>
      <c r="N103" s="493"/>
    </row>
    <row r="104" spans="1:14" ht="19.5" customHeight="1" x14ac:dyDescent="0.2">
      <c r="A104" s="480">
        <v>15300</v>
      </c>
      <c r="B104" s="603" t="s">
        <v>194</v>
      </c>
      <c r="C104" s="604">
        <v>0</v>
      </c>
      <c r="D104" s="605"/>
      <c r="E104" s="604">
        <v>0</v>
      </c>
      <c r="F104" s="605"/>
      <c r="G104" s="689">
        <v>0</v>
      </c>
      <c r="H104" s="606">
        <f t="shared" si="33"/>
        <v>0</v>
      </c>
      <c r="I104" s="463" t="str">
        <f t="shared" si="34"/>
        <v>-</v>
      </c>
      <c r="J104" s="496"/>
      <c r="K104" s="481">
        <f t="shared" si="35"/>
        <v>0</v>
      </c>
      <c r="L104" s="463" t="str">
        <f t="shared" si="36"/>
        <v>-</v>
      </c>
      <c r="M104" s="497"/>
      <c r="N104" s="494"/>
    </row>
    <row r="105" spans="1:14" ht="37.5" customHeight="1" x14ac:dyDescent="0.2">
      <c r="A105" s="498">
        <v>16000</v>
      </c>
      <c r="B105" s="620" t="s">
        <v>324</v>
      </c>
      <c r="C105" s="621">
        <f ca="1">C47-C53</f>
        <v>-1338102</v>
      </c>
      <c r="D105" s="621">
        <f t="shared" ref="D105" si="43">D47-D53</f>
        <v>-1293300</v>
      </c>
      <c r="E105" s="621">
        <f ca="1">E47-E53</f>
        <v>-1338102</v>
      </c>
      <c r="F105" s="621">
        <f t="shared" ref="F105" si="44">F47-F53</f>
        <v>-1293300</v>
      </c>
      <c r="G105" s="622">
        <f ca="1">G47-G53</f>
        <v>-1088687</v>
      </c>
      <c r="H105" s="623">
        <f t="shared" ca="1" si="33"/>
        <v>204613</v>
      </c>
      <c r="I105" s="445">
        <f t="shared" ca="1" si="34"/>
        <v>0.15821000541251062</v>
      </c>
      <c r="J105" s="499"/>
      <c r="K105" s="444">
        <f t="shared" ca="1" si="35"/>
        <v>249415</v>
      </c>
      <c r="L105" s="445">
        <f t="shared" ca="1" si="36"/>
        <v>0.1863946096784849</v>
      </c>
      <c r="M105" s="500"/>
      <c r="N105" s="494"/>
    </row>
    <row r="106" spans="1:14" ht="18.75" customHeight="1" x14ac:dyDescent="0.2">
      <c r="A106" s="439" t="s">
        <v>309</v>
      </c>
      <c r="B106" s="798" t="s">
        <v>197</v>
      </c>
      <c r="C106" s="798"/>
      <c r="D106" s="798"/>
      <c r="E106" s="798"/>
      <c r="F106" s="798"/>
      <c r="G106" s="798"/>
      <c r="H106" s="798"/>
      <c r="I106" s="442" t="str">
        <f t="shared" si="34"/>
        <v>-</v>
      </c>
      <c r="J106" s="501"/>
      <c r="L106" s="442" t="str">
        <f t="shared" si="36"/>
        <v>-</v>
      </c>
      <c r="M106" s="497"/>
      <c r="N106" s="494"/>
    </row>
    <row r="107" spans="1:14" ht="19.5" customHeight="1" x14ac:dyDescent="0.2">
      <c r="A107" s="502">
        <v>17000</v>
      </c>
      <c r="B107" s="624" t="s">
        <v>320</v>
      </c>
      <c r="C107" s="625">
        <f ca="1">C108+C109+C110</f>
        <v>170855.4</v>
      </c>
      <c r="D107" s="625">
        <f t="shared" ref="D107" ca="1" si="45">D108+D109+D110</f>
        <v>168151.62</v>
      </c>
      <c r="E107" s="625">
        <f ca="1">E108+E109+E110</f>
        <v>170855.4</v>
      </c>
      <c r="F107" s="625">
        <f t="shared" ref="F107" ca="1" si="46">F108+F109+F110</f>
        <v>168151.62</v>
      </c>
      <c r="G107" s="626">
        <f ca="1">G108+G109+G110</f>
        <v>168151.61</v>
      </c>
      <c r="H107" s="627">
        <f t="shared" ref="H107:H111" ca="1" si="47">G107-F107</f>
        <v>-1.0000000009313226E-2</v>
      </c>
      <c r="I107" s="445">
        <f t="shared" ca="1" si="34"/>
        <v>-5.9470137779899031E-8</v>
      </c>
      <c r="J107" s="503"/>
      <c r="K107" s="444">
        <f t="shared" ref="K107:K120" ca="1" si="48">G107-E107</f>
        <v>-2703.7900000000081</v>
      </c>
      <c r="L107" s="445">
        <f t="shared" ca="1" si="36"/>
        <v>-1.5825019285313827E-2</v>
      </c>
      <c r="M107" s="500"/>
      <c r="N107" s="494"/>
    </row>
    <row r="108" spans="1:14" ht="56.25" customHeight="1" x14ac:dyDescent="0.2">
      <c r="A108" s="459">
        <v>17100</v>
      </c>
      <c r="B108" s="628" t="s">
        <v>199</v>
      </c>
      <c r="C108" s="590">
        <v>97479</v>
      </c>
      <c r="D108" s="591"/>
      <c r="E108" s="590">
        <v>97479</v>
      </c>
      <c r="F108" s="591"/>
      <c r="G108" s="590"/>
      <c r="H108" s="592">
        <f t="shared" si="47"/>
        <v>0</v>
      </c>
      <c r="I108" s="463" t="str">
        <f t="shared" si="34"/>
        <v>-</v>
      </c>
      <c r="J108" s="501"/>
      <c r="K108" s="462">
        <f t="shared" si="48"/>
        <v>-97479</v>
      </c>
      <c r="L108" s="463">
        <f t="shared" si="36"/>
        <v>-1</v>
      </c>
      <c r="M108" s="666" t="s">
        <v>857</v>
      </c>
      <c r="N108" s="494"/>
    </row>
    <row r="109" spans="1:14" ht="19.5" customHeight="1" x14ac:dyDescent="0.2">
      <c r="A109" s="459">
        <v>17200</v>
      </c>
      <c r="B109" s="628" t="s">
        <v>319</v>
      </c>
      <c r="C109" s="590"/>
      <c r="D109" s="591"/>
      <c r="E109" s="590"/>
      <c r="F109" s="591"/>
      <c r="G109" s="590"/>
      <c r="H109" s="592">
        <f t="shared" si="47"/>
        <v>0</v>
      </c>
      <c r="I109" s="463" t="str">
        <f t="shared" si="34"/>
        <v>-</v>
      </c>
      <c r="J109" s="501"/>
      <c r="K109" s="504">
        <f t="shared" si="48"/>
        <v>0</v>
      </c>
      <c r="L109" s="463" t="str">
        <f t="shared" si="36"/>
        <v>-</v>
      </c>
      <c r="M109" s="497"/>
      <c r="N109" s="494"/>
    </row>
    <row r="110" spans="1:14" ht="33" x14ac:dyDescent="0.2">
      <c r="A110" s="448">
        <v>17300</v>
      </c>
      <c r="B110" s="575" t="s">
        <v>198</v>
      </c>
      <c r="C110" s="569">
        <f ca="1">C111+C114+C117+C120+C123</f>
        <v>73376.399999999994</v>
      </c>
      <c r="D110" s="569">
        <f t="shared" ref="D110" ca="1" si="49">D111+D114+D117+D120+D123</f>
        <v>168151.62</v>
      </c>
      <c r="E110" s="569">
        <f ca="1">E111+E114+E117+E120+E123</f>
        <v>73376.399999999994</v>
      </c>
      <c r="F110" s="569">
        <f t="shared" ref="F110" ca="1" si="50">F111+F114+F117+F120+F123</f>
        <v>168151.62</v>
      </c>
      <c r="G110" s="573">
        <f ca="1">G111+G114+G117+G120+G123</f>
        <v>168151.61</v>
      </c>
      <c r="H110" s="574">
        <f ca="1">G110-F110</f>
        <v>-1.0000000009313226E-2</v>
      </c>
      <c r="I110" s="445">
        <f t="shared" ca="1" si="34"/>
        <v>-5.9470137779899031E-8</v>
      </c>
      <c r="J110" s="505"/>
      <c r="K110" s="444">
        <f t="shared" ca="1" si="48"/>
        <v>94775.209999999992</v>
      </c>
      <c r="L110" s="445">
        <f t="shared" ca="1" si="36"/>
        <v>1.2916306877960761</v>
      </c>
      <c r="M110" s="500"/>
      <c r="N110" s="494"/>
    </row>
    <row r="111" spans="1:14" ht="56.25" customHeight="1" x14ac:dyDescent="0.2">
      <c r="A111" s="506">
        <v>17310</v>
      </c>
      <c r="B111" s="629" t="s">
        <v>767</v>
      </c>
      <c r="C111" s="630">
        <f ca="1">SUM(OFFSET(C114,-1,0):OFFSET(C111,1,0))</f>
        <v>0</v>
      </c>
      <c r="D111" s="631"/>
      <c r="E111" s="630">
        <f ca="1">SUM(OFFSET(E114,-1,0):OFFSET(E111,1,0))</f>
        <v>0</v>
      </c>
      <c r="F111" s="631"/>
      <c r="G111" s="630">
        <f ca="1">SUM(OFFSET(G114,-1,0):OFFSET(G111,1,0))</f>
        <v>0</v>
      </c>
      <c r="H111" s="632">
        <f t="shared" ca="1" si="47"/>
        <v>0</v>
      </c>
      <c r="I111" s="508" t="str">
        <f t="shared" ca="1" si="34"/>
        <v>-</v>
      </c>
      <c r="J111" s="822"/>
      <c r="K111" s="509">
        <f t="shared" ca="1" si="48"/>
        <v>0</v>
      </c>
      <c r="L111" s="508" t="str">
        <f t="shared" ca="1" si="36"/>
        <v>-</v>
      </c>
      <c r="M111" s="810" t="s">
        <v>858</v>
      </c>
      <c r="N111" s="494"/>
    </row>
    <row r="112" spans="1:14" s="492" customFormat="1" x14ac:dyDescent="0.2">
      <c r="A112" s="510"/>
      <c r="B112" s="633"/>
      <c r="C112" s="587"/>
      <c r="D112" s="587"/>
      <c r="E112" s="587"/>
      <c r="F112" s="587"/>
      <c r="G112" s="587"/>
      <c r="H112" s="588"/>
      <c r="I112" s="461" t="str">
        <f t="shared" si="34"/>
        <v>-</v>
      </c>
      <c r="J112" s="823"/>
      <c r="K112" s="460">
        <f t="shared" si="48"/>
        <v>0</v>
      </c>
      <c r="L112" s="461" t="str">
        <f t="shared" si="36"/>
        <v>-</v>
      </c>
      <c r="M112" s="811"/>
      <c r="N112" s="493"/>
    </row>
    <row r="113" spans="1:14" s="492" customFormat="1" x14ac:dyDescent="0.2">
      <c r="A113" s="510"/>
      <c r="B113" s="633"/>
      <c r="C113" s="577"/>
      <c r="D113" s="587"/>
      <c r="E113" s="577"/>
      <c r="F113" s="587"/>
      <c r="G113" s="577"/>
      <c r="H113" s="588">
        <f t="shared" ref="H113:H140" si="51">G113-F113</f>
        <v>0</v>
      </c>
      <c r="I113" s="461" t="str">
        <f t="shared" si="34"/>
        <v>-</v>
      </c>
      <c r="J113" s="823"/>
      <c r="K113" s="460">
        <f t="shared" si="48"/>
        <v>0</v>
      </c>
      <c r="L113" s="461" t="str">
        <f t="shared" si="36"/>
        <v>-</v>
      </c>
      <c r="M113" s="811"/>
      <c r="N113" s="493"/>
    </row>
    <row r="114" spans="1:14" ht="49.5" x14ac:dyDescent="0.2">
      <c r="A114" s="506">
        <v>17320</v>
      </c>
      <c r="B114" s="634" t="s">
        <v>768</v>
      </c>
      <c r="C114" s="630">
        <f ca="1">SUM(OFFSET(C117,-1,0):OFFSET(C114,1,0))</f>
        <v>73376.399999999994</v>
      </c>
      <c r="D114" s="630">
        <f ca="1">SUM(OFFSET(D117,-1,0):OFFSET(D114,1,0))</f>
        <v>168151.62</v>
      </c>
      <c r="E114" s="630">
        <f ca="1">SUM(OFFSET(E117,-1,0):OFFSET(E114,1,0))</f>
        <v>73376.399999999994</v>
      </c>
      <c r="F114" s="630">
        <f ca="1">SUM(OFFSET(F117,-1,0):OFFSET(F114,1,0))</f>
        <v>168151.62</v>
      </c>
      <c r="G114" s="630">
        <f ca="1">SUM(OFFSET(G117,-1,0):OFFSET(G114,1,0))</f>
        <v>168151.61</v>
      </c>
      <c r="H114" s="632">
        <f t="shared" ca="1" si="51"/>
        <v>-1.0000000009313226E-2</v>
      </c>
      <c r="I114" s="508">
        <f t="shared" ca="1" si="34"/>
        <v>-5.9470137779899031E-8</v>
      </c>
      <c r="J114" s="823"/>
      <c r="K114" s="507">
        <f t="shared" ca="1" si="48"/>
        <v>94775.209999999992</v>
      </c>
      <c r="L114" s="508">
        <f t="shared" ca="1" si="36"/>
        <v>1.2916306877960761</v>
      </c>
      <c r="M114" s="811"/>
      <c r="N114" s="494"/>
    </row>
    <row r="115" spans="1:14" s="492" customFormat="1" x14ac:dyDescent="0.2">
      <c r="A115" s="510"/>
      <c r="B115" s="635"/>
      <c r="C115" s="577"/>
      <c r="D115" s="587"/>
      <c r="E115" s="577"/>
      <c r="F115" s="587"/>
      <c r="G115" s="577"/>
      <c r="H115" s="588">
        <f t="shared" si="51"/>
        <v>0</v>
      </c>
      <c r="I115" s="461" t="str">
        <f t="shared" si="34"/>
        <v>-</v>
      </c>
      <c r="J115" s="823"/>
      <c r="K115" s="460">
        <f t="shared" si="48"/>
        <v>0</v>
      </c>
      <c r="L115" s="461" t="str">
        <f t="shared" si="36"/>
        <v>-</v>
      </c>
      <c r="M115" s="811"/>
      <c r="N115" s="493"/>
    </row>
    <row r="116" spans="1:14" s="492" customFormat="1" x14ac:dyDescent="0.2">
      <c r="A116" s="510"/>
      <c r="B116" s="635"/>
      <c r="C116" s="577">
        <v>73376.399999999994</v>
      </c>
      <c r="D116" s="587">
        <v>168151.62</v>
      </c>
      <c r="E116" s="577">
        <v>73376.399999999994</v>
      </c>
      <c r="F116" s="587">
        <v>168151.62</v>
      </c>
      <c r="G116" s="577">
        <v>168151.61</v>
      </c>
      <c r="H116" s="588">
        <f t="shared" si="51"/>
        <v>-1.0000000009313226E-2</v>
      </c>
      <c r="I116" s="461">
        <f t="shared" si="34"/>
        <v>-5.9470137779899031E-8</v>
      </c>
      <c r="J116" s="823"/>
      <c r="K116" s="460">
        <f t="shared" si="48"/>
        <v>94775.209999999992</v>
      </c>
      <c r="L116" s="461">
        <f t="shared" si="36"/>
        <v>1.2916306877960761</v>
      </c>
      <c r="M116" s="811"/>
      <c r="N116" s="493"/>
    </row>
    <row r="117" spans="1:14" ht="49.5" x14ac:dyDescent="0.2">
      <c r="A117" s="511">
        <v>17330</v>
      </c>
      <c r="B117" s="636" t="s">
        <v>769</v>
      </c>
      <c r="C117" s="630">
        <f ca="1">SUM(OFFSET(C120,-1,0):OFFSET(C117,1,0))</f>
        <v>0</v>
      </c>
      <c r="D117" s="631"/>
      <c r="E117" s="630">
        <f ca="1">SUM(OFFSET(E120,-1,0):OFFSET(E117,1,0))</f>
        <v>0</v>
      </c>
      <c r="F117" s="631"/>
      <c r="G117" s="630">
        <f ca="1">SUM(OFFSET(G120,-1,0):OFFSET(G117,1,0))</f>
        <v>0</v>
      </c>
      <c r="H117" s="632">
        <f t="shared" ca="1" si="51"/>
        <v>0</v>
      </c>
      <c r="I117" s="508" t="str">
        <f t="shared" ca="1" si="34"/>
        <v>-</v>
      </c>
      <c r="J117" s="823"/>
      <c r="K117" s="507">
        <f t="shared" ca="1" si="48"/>
        <v>0</v>
      </c>
      <c r="L117" s="508" t="str">
        <f t="shared" ca="1" si="36"/>
        <v>-</v>
      </c>
      <c r="M117" s="811"/>
    </row>
    <row r="118" spans="1:14" s="492" customFormat="1" x14ac:dyDescent="0.2">
      <c r="A118" s="512"/>
      <c r="B118" s="637"/>
      <c r="C118" s="577"/>
      <c r="D118" s="587"/>
      <c r="E118" s="577"/>
      <c r="F118" s="587"/>
      <c r="G118" s="577"/>
      <c r="H118" s="588">
        <f t="shared" si="51"/>
        <v>0</v>
      </c>
      <c r="I118" s="461" t="str">
        <f t="shared" si="34"/>
        <v>-</v>
      </c>
      <c r="J118" s="823"/>
      <c r="K118" s="460">
        <f t="shared" si="48"/>
        <v>0</v>
      </c>
      <c r="L118" s="461" t="str">
        <f t="shared" si="36"/>
        <v>-</v>
      </c>
      <c r="M118" s="811"/>
    </row>
    <row r="119" spans="1:14" s="492" customFormat="1" x14ac:dyDescent="0.2">
      <c r="A119" s="512"/>
      <c r="B119" s="637"/>
      <c r="C119" s="577"/>
      <c r="D119" s="587"/>
      <c r="E119" s="577"/>
      <c r="F119" s="587"/>
      <c r="G119" s="577"/>
      <c r="H119" s="588">
        <f t="shared" si="51"/>
        <v>0</v>
      </c>
      <c r="I119" s="461" t="str">
        <f t="shared" si="34"/>
        <v>-</v>
      </c>
      <c r="J119" s="823"/>
      <c r="K119" s="460">
        <f t="shared" si="48"/>
        <v>0</v>
      </c>
      <c r="L119" s="461" t="str">
        <f t="shared" si="36"/>
        <v>-</v>
      </c>
      <c r="M119" s="811"/>
    </row>
    <row r="120" spans="1:14" ht="49.5" x14ac:dyDescent="0.2">
      <c r="A120" s="511">
        <v>17340</v>
      </c>
      <c r="B120" s="636" t="s">
        <v>770</v>
      </c>
      <c r="C120" s="630">
        <f ca="1">SUM(OFFSET(C123,-1,0):OFFSET(C120,1,0))</f>
        <v>0</v>
      </c>
      <c r="D120" s="631"/>
      <c r="E120" s="630">
        <f ca="1">SUM(OFFSET(E123,-1,0):OFFSET(E120,1,0))</f>
        <v>0</v>
      </c>
      <c r="F120" s="631"/>
      <c r="G120" s="630">
        <f ca="1">SUM(OFFSET(G123,-1,0):OFFSET(G120,1,0))</f>
        <v>0</v>
      </c>
      <c r="H120" s="632">
        <f t="shared" ca="1" si="51"/>
        <v>0</v>
      </c>
      <c r="I120" s="508" t="str">
        <f t="shared" ca="1" si="34"/>
        <v>-</v>
      </c>
      <c r="J120" s="823"/>
      <c r="K120" s="507">
        <f t="shared" ca="1" si="48"/>
        <v>0</v>
      </c>
      <c r="L120" s="508" t="str">
        <f t="shared" ca="1" si="36"/>
        <v>-</v>
      </c>
      <c r="M120" s="811"/>
    </row>
    <row r="121" spans="1:14" s="492" customFormat="1" x14ac:dyDescent="0.2">
      <c r="A121" s="512"/>
      <c r="B121" s="637"/>
      <c r="C121" s="587"/>
      <c r="D121" s="587"/>
      <c r="E121" s="587"/>
      <c r="F121" s="587"/>
      <c r="G121" s="587"/>
      <c r="H121" s="588">
        <f t="shared" si="51"/>
        <v>0</v>
      </c>
      <c r="I121" s="461" t="str">
        <f t="shared" si="34"/>
        <v>-</v>
      </c>
      <c r="J121" s="823"/>
      <c r="K121" s="460"/>
      <c r="L121" s="461" t="str">
        <f t="shared" si="36"/>
        <v>-</v>
      </c>
      <c r="M121" s="811"/>
    </row>
    <row r="122" spans="1:14" s="492" customFormat="1" x14ac:dyDescent="0.2">
      <c r="A122" s="512"/>
      <c r="B122" s="637"/>
      <c r="C122" s="577"/>
      <c r="D122" s="587"/>
      <c r="E122" s="577"/>
      <c r="F122" s="587"/>
      <c r="G122" s="577"/>
      <c r="H122" s="588">
        <f t="shared" si="51"/>
        <v>0</v>
      </c>
      <c r="I122" s="461" t="str">
        <f t="shared" si="34"/>
        <v>-</v>
      </c>
      <c r="J122" s="823"/>
      <c r="K122" s="460">
        <f t="shared" ref="K122:K139" si="52">G122-E122</f>
        <v>0</v>
      </c>
      <c r="L122" s="461" t="str">
        <f t="shared" si="36"/>
        <v>-</v>
      </c>
      <c r="M122" s="811"/>
    </row>
    <row r="123" spans="1:14" ht="33" x14ac:dyDescent="0.2">
      <c r="A123" s="506">
        <v>17350</v>
      </c>
      <c r="B123" s="638" t="s">
        <v>771</v>
      </c>
      <c r="C123" s="630">
        <f ca="1">SUM(OFFSET(C126,-1,0):OFFSET(C123,1,0))</f>
        <v>0</v>
      </c>
      <c r="D123" s="631"/>
      <c r="E123" s="630">
        <f ca="1">SUM(OFFSET(E126,-1,0):OFFSET(E123,1,0))</f>
        <v>0</v>
      </c>
      <c r="F123" s="631"/>
      <c r="G123" s="630">
        <f ca="1">SUM(OFFSET(G126,-1,0):OFFSET(G123,1,0))</f>
        <v>0</v>
      </c>
      <c r="H123" s="632">
        <f t="shared" ca="1" si="51"/>
        <v>0</v>
      </c>
      <c r="I123" s="508" t="str">
        <f t="shared" ca="1" si="34"/>
        <v>-</v>
      </c>
      <c r="J123" s="823"/>
      <c r="K123" s="507">
        <f t="shared" ca="1" si="52"/>
        <v>0</v>
      </c>
      <c r="L123" s="508" t="str">
        <f t="shared" ca="1" si="36"/>
        <v>-</v>
      </c>
      <c r="M123" s="811"/>
    </row>
    <row r="124" spans="1:14" s="492" customFormat="1" x14ac:dyDescent="0.2">
      <c r="A124" s="510"/>
      <c r="B124" s="639"/>
      <c r="C124" s="577"/>
      <c r="D124" s="587"/>
      <c r="E124" s="577"/>
      <c r="F124" s="587"/>
      <c r="G124" s="577"/>
      <c r="H124" s="588">
        <f t="shared" si="51"/>
        <v>0</v>
      </c>
      <c r="I124" s="461" t="str">
        <f t="shared" si="34"/>
        <v>-</v>
      </c>
      <c r="J124" s="823"/>
      <c r="K124" s="460">
        <f t="shared" si="52"/>
        <v>0</v>
      </c>
      <c r="L124" s="461" t="str">
        <f t="shared" si="36"/>
        <v>-</v>
      </c>
      <c r="M124" s="811"/>
    </row>
    <row r="125" spans="1:14" s="492" customFormat="1" x14ac:dyDescent="0.2">
      <c r="A125" s="510"/>
      <c r="B125" s="639"/>
      <c r="C125" s="577"/>
      <c r="D125" s="587"/>
      <c r="E125" s="577"/>
      <c r="F125" s="587"/>
      <c r="G125" s="577"/>
      <c r="H125" s="588">
        <f t="shared" si="51"/>
        <v>0</v>
      </c>
      <c r="I125" s="461" t="str">
        <f t="shared" si="34"/>
        <v>-</v>
      </c>
      <c r="J125" s="824"/>
      <c r="K125" s="460">
        <f t="shared" si="52"/>
        <v>0</v>
      </c>
      <c r="L125" s="461" t="str">
        <f t="shared" si="36"/>
        <v>-</v>
      </c>
      <c r="M125" s="812"/>
    </row>
    <row r="126" spans="1:14" ht="19.5" customHeight="1" x14ac:dyDescent="0.2">
      <c r="A126" s="513">
        <v>18000</v>
      </c>
      <c r="B126" s="640" t="s">
        <v>321</v>
      </c>
      <c r="C126" s="573">
        <f>C127+C128+C129</f>
        <v>0</v>
      </c>
      <c r="D126" s="573">
        <f t="shared" ref="D126:G126" si="53">D127+D128+D129</f>
        <v>0</v>
      </c>
      <c r="E126" s="573">
        <f>E127+E128+E129</f>
        <v>0</v>
      </c>
      <c r="F126" s="573">
        <f t="shared" ref="F126" si="54">F127+F128+F129</f>
        <v>0</v>
      </c>
      <c r="G126" s="573">
        <f t="shared" si="53"/>
        <v>0</v>
      </c>
      <c r="H126" s="574">
        <f t="shared" si="51"/>
        <v>0</v>
      </c>
      <c r="I126" s="445" t="str">
        <f t="shared" si="34"/>
        <v>-</v>
      </c>
      <c r="J126" s="499"/>
      <c r="K126" s="444">
        <f t="shared" si="52"/>
        <v>0</v>
      </c>
      <c r="L126" s="445" t="str">
        <f t="shared" si="36"/>
        <v>-</v>
      </c>
      <c r="M126" s="500"/>
    </row>
    <row r="127" spans="1:14" ht="19.5" customHeight="1" x14ac:dyDescent="0.2">
      <c r="A127" s="514">
        <v>18100</v>
      </c>
      <c r="B127" s="589" t="s">
        <v>322</v>
      </c>
      <c r="C127" s="590"/>
      <c r="D127" s="591"/>
      <c r="E127" s="590"/>
      <c r="F127" s="591"/>
      <c r="G127" s="590"/>
      <c r="H127" s="592">
        <f t="shared" si="51"/>
        <v>0</v>
      </c>
      <c r="I127" s="463" t="str">
        <f t="shared" si="34"/>
        <v>-</v>
      </c>
      <c r="J127" s="501"/>
      <c r="K127" s="462">
        <f t="shared" si="52"/>
        <v>0</v>
      </c>
      <c r="L127" s="463" t="str">
        <f t="shared" si="36"/>
        <v>-</v>
      </c>
      <c r="M127" s="497"/>
    </row>
    <row r="128" spans="1:14" ht="37.5" customHeight="1" x14ac:dyDescent="0.2">
      <c r="A128" s="514">
        <v>18200</v>
      </c>
      <c r="B128" s="589" t="s">
        <v>200</v>
      </c>
      <c r="C128" s="590"/>
      <c r="D128" s="591"/>
      <c r="E128" s="590"/>
      <c r="F128" s="591"/>
      <c r="G128" s="590"/>
      <c r="H128" s="592">
        <f t="shared" si="51"/>
        <v>0</v>
      </c>
      <c r="I128" s="463" t="str">
        <f t="shared" si="34"/>
        <v>-</v>
      </c>
      <c r="J128" s="501"/>
      <c r="K128" s="462">
        <f t="shared" si="52"/>
        <v>0</v>
      </c>
      <c r="L128" s="463" t="str">
        <f t="shared" si="36"/>
        <v>-</v>
      </c>
      <c r="M128" s="497"/>
    </row>
    <row r="129" spans="1:13" ht="19.5" customHeight="1" x14ac:dyDescent="0.2">
      <c r="A129" s="514">
        <v>18300</v>
      </c>
      <c r="B129" s="589" t="s">
        <v>201</v>
      </c>
      <c r="C129" s="590"/>
      <c r="D129" s="591"/>
      <c r="E129" s="590"/>
      <c r="F129" s="591"/>
      <c r="G129" s="590"/>
      <c r="H129" s="592">
        <f t="shared" si="51"/>
        <v>0</v>
      </c>
      <c r="I129" s="463" t="str">
        <f t="shared" si="34"/>
        <v>-</v>
      </c>
      <c r="J129" s="501"/>
      <c r="K129" s="462">
        <f t="shared" si="52"/>
        <v>0</v>
      </c>
      <c r="L129" s="463" t="str">
        <f t="shared" si="36"/>
        <v>-</v>
      </c>
      <c r="M129" s="497"/>
    </row>
    <row r="130" spans="1:13" ht="37.5" customHeight="1" x14ac:dyDescent="0.2">
      <c r="A130" s="443">
        <v>19000</v>
      </c>
      <c r="B130" s="641" t="s">
        <v>323</v>
      </c>
      <c r="C130" s="569">
        <f ca="1">C107-C126</f>
        <v>170855.4</v>
      </c>
      <c r="D130" s="569">
        <f t="shared" ref="D130" ca="1" si="55">D107-D126</f>
        <v>168151.62</v>
      </c>
      <c r="E130" s="569">
        <f ca="1">E107-E126</f>
        <v>170855.4</v>
      </c>
      <c r="F130" s="569">
        <f t="shared" ref="F130" ca="1" si="56">F107-F126</f>
        <v>168151.62</v>
      </c>
      <c r="G130" s="573">
        <f ca="1">G107-G126</f>
        <v>168151.61</v>
      </c>
      <c r="H130" s="574">
        <f t="shared" ca="1" si="51"/>
        <v>-1.0000000009313226E-2</v>
      </c>
      <c r="I130" s="445">
        <f t="shared" ca="1" si="34"/>
        <v>-5.9470137779899031E-8</v>
      </c>
      <c r="J130" s="499"/>
      <c r="K130" s="444">
        <f t="shared" ca="1" si="52"/>
        <v>-2703.7900000000081</v>
      </c>
      <c r="L130" s="445">
        <f t="shared" ca="1" si="36"/>
        <v>-1.5825019285313827E-2</v>
      </c>
      <c r="M130" s="500"/>
    </row>
    <row r="131" spans="1:13" ht="37.5" customHeight="1" x14ac:dyDescent="0.2">
      <c r="A131" s="459">
        <v>20100</v>
      </c>
      <c r="B131" s="642" t="s">
        <v>202</v>
      </c>
      <c r="C131" s="590"/>
      <c r="D131" s="591"/>
      <c r="E131" s="590"/>
      <c r="F131" s="591"/>
      <c r="G131" s="590"/>
      <c r="H131" s="592">
        <f t="shared" si="51"/>
        <v>0</v>
      </c>
      <c r="I131" s="463" t="str">
        <f t="shared" si="34"/>
        <v>-</v>
      </c>
      <c r="J131" s="501"/>
      <c r="K131" s="462">
        <f t="shared" si="52"/>
        <v>0</v>
      </c>
      <c r="L131" s="463" t="str">
        <f t="shared" si="36"/>
        <v>-</v>
      </c>
      <c r="M131" s="497"/>
    </row>
    <row r="132" spans="1:13" ht="37.5" customHeight="1" x14ac:dyDescent="0.2">
      <c r="A132" s="459">
        <v>20200</v>
      </c>
      <c r="B132" s="642" t="s">
        <v>203</v>
      </c>
      <c r="C132" s="590"/>
      <c r="D132" s="591"/>
      <c r="E132" s="590"/>
      <c r="F132" s="591"/>
      <c r="G132" s="590"/>
      <c r="H132" s="592">
        <f t="shared" si="51"/>
        <v>0</v>
      </c>
      <c r="I132" s="463" t="str">
        <f t="shared" si="34"/>
        <v>-</v>
      </c>
      <c r="J132" s="501"/>
      <c r="K132" s="462">
        <f t="shared" si="52"/>
        <v>0</v>
      </c>
      <c r="L132" s="463" t="str">
        <f t="shared" si="36"/>
        <v>-</v>
      </c>
      <c r="M132" s="497"/>
    </row>
    <row r="133" spans="1:13" ht="37.5" customHeight="1" x14ac:dyDescent="0.2">
      <c r="A133" s="435">
        <v>21000</v>
      </c>
      <c r="B133" s="575" t="s">
        <v>204</v>
      </c>
      <c r="C133" s="594">
        <f ca="1">C3+C45+C105+C130+C131+C132</f>
        <v>707277.83999999391</v>
      </c>
      <c r="D133" s="594">
        <f ca="1">D3+D45+D105+D130+D131+D132</f>
        <v>380961.89505574515</v>
      </c>
      <c r="E133" s="594">
        <f ca="1">E3+E45+E105+E130+E131+E132</f>
        <v>707277.83999999391</v>
      </c>
      <c r="F133" s="594">
        <f ca="1">F3+F45+F105+F130+F131+F132</f>
        <v>380961.89505574538</v>
      </c>
      <c r="G133" s="571">
        <f ca="1">G3+G45+G105+G130+G131+G132</f>
        <v>327785.28999999736</v>
      </c>
      <c r="H133" s="572">
        <f t="shared" ca="1" si="51"/>
        <v>-53176.605055748019</v>
      </c>
      <c r="I133" s="437">
        <f t="shared" ref="I133:I140" ca="1" si="57">IFERROR(H133/ABS(F133), "-")</f>
        <v>-0.13958510220022607</v>
      </c>
      <c r="J133" s="800" t="s">
        <v>852</v>
      </c>
      <c r="K133" s="436">
        <f t="shared" ca="1" si="52"/>
        <v>-379492.54999999655</v>
      </c>
      <c r="L133" s="437">
        <f t="shared" ref="L133:L140" ca="1" si="58">IFERROR(K133/ABS(E133), "-")</f>
        <v>-0.53655371133923813</v>
      </c>
      <c r="M133" s="795" t="s">
        <v>859</v>
      </c>
    </row>
    <row r="134" spans="1:13" ht="19.5" customHeight="1" x14ac:dyDescent="0.2">
      <c r="A134" s="514">
        <v>21100</v>
      </c>
      <c r="B134" s="642" t="s">
        <v>205</v>
      </c>
      <c r="C134" s="590"/>
      <c r="D134" s="591"/>
      <c r="E134" s="590"/>
      <c r="F134" s="591"/>
      <c r="G134" s="590"/>
      <c r="H134" s="592">
        <f t="shared" si="51"/>
        <v>0</v>
      </c>
      <c r="I134" s="463" t="str">
        <f t="shared" si="57"/>
        <v>-</v>
      </c>
      <c r="J134" s="800"/>
      <c r="K134" s="462">
        <f t="shared" si="52"/>
        <v>0</v>
      </c>
      <c r="L134" s="463" t="str">
        <f t="shared" si="58"/>
        <v>-</v>
      </c>
      <c r="M134" s="796"/>
    </row>
    <row r="135" spans="1:13" ht="19.5" customHeight="1" x14ac:dyDescent="0.2">
      <c r="A135" s="514">
        <v>21200</v>
      </c>
      <c r="B135" s="642" t="s">
        <v>206</v>
      </c>
      <c r="C135" s="590">
        <v>88812.73</v>
      </c>
      <c r="D135" s="591"/>
      <c r="E135" s="590">
        <v>88812.73</v>
      </c>
      <c r="F135" s="591"/>
      <c r="G135" s="590">
        <v>168152.34</v>
      </c>
      <c r="H135" s="592">
        <f t="shared" si="51"/>
        <v>168152.34</v>
      </c>
      <c r="I135" s="463" t="str">
        <f t="shared" si="57"/>
        <v>-</v>
      </c>
      <c r="J135" s="800"/>
      <c r="K135" s="462">
        <f t="shared" si="52"/>
        <v>79339.61</v>
      </c>
      <c r="L135" s="463">
        <f t="shared" si="58"/>
        <v>0.89333601162806286</v>
      </c>
      <c r="M135" s="796"/>
    </row>
    <row r="136" spans="1:13" ht="17.25" customHeight="1" x14ac:dyDescent="0.2">
      <c r="A136" s="514">
        <v>21300</v>
      </c>
      <c r="B136" s="642" t="s">
        <v>207</v>
      </c>
      <c r="C136" s="590"/>
      <c r="D136" s="591"/>
      <c r="E136" s="590"/>
      <c r="F136" s="591"/>
      <c r="G136" s="590"/>
      <c r="H136" s="592">
        <f t="shared" si="51"/>
        <v>0</v>
      </c>
      <c r="I136" s="463" t="str">
        <f t="shared" si="57"/>
        <v>-</v>
      </c>
      <c r="J136" s="800"/>
      <c r="K136" s="462">
        <f t="shared" si="52"/>
        <v>0</v>
      </c>
      <c r="L136" s="463" t="str">
        <f t="shared" si="58"/>
        <v>-</v>
      </c>
      <c r="M136" s="796"/>
    </row>
    <row r="137" spans="1:13" ht="19.5" customHeight="1" x14ac:dyDescent="0.2">
      <c r="A137" s="514">
        <v>21400</v>
      </c>
      <c r="B137" s="642" t="s">
        <v>208</v>
      </c>
      <c r="C137" s="590">
        <v>1168.01</v>
      </c>
      <c r="D137" s="591">
        <v>1168.01</v>
      </c>
      <c r="E137" s="590">
        <v>1168.01</v>
      </c>
      <c r="F137" s="591">
        <v>1168.01</v>
      </c>
      <c r="G137" s="590">
        <v>1168.01</v>
      </c>
      <c r="H137" s="592">
        <f t="shared" si="51"/>
        <v>0</v>
      </c>
      <c r="I137" s="463">
        <f t="shared" si="57"/>
        <v>0</v>
      </c>
      <c r="J137" s="800"/>
      <c r="K137" s="462">
        <f t="shared" si="52"/>
        <v>0</v>
      </c>
      <c r="L137" s="463">
        <f t="shared" si="58"/>
        <v>0</v>
      </c>
      <c r="M137" s="796"/>
    </row>
    <row r="138" spans="1:13" ht="19.5" customHeight="1" x14ac:dyDescent="0.2">
      <c r="A138" s="514">
        <v>21500</v>
      </c>
      <c r="B138" s="642" t="s">
        <v>209</v>
      </c>
      <c r="C138" s="590">
        <f>616492.31+805.31</f>
        <v>617297.62000000011</v>
      </c>
      <c r="D138" s="591">
        <f ca="1">D133-D137</f>
        <v>379793.88505574514</v>
      </c>
      <c r="E138" s="590">
        <f>616492.31+805.31</f>
        <v>617297.62000000011</v>
      </c>
      <c r="F138" s="591">
        <f ca="1">F133-F137</f>
        <v>379793.88505574537</v>
      </c>
      <c r="G138" s="590">
        <f>157000.76-5093.42+6557</f>
        <v>158464.34</v>
      </c>
      <c r="H138" s="592">
        <f t="shared" ca="1" si="51"/>
        <v>-221329.54505574537</v>
      </c>
      <c r="I138" s="463">
        <f t="shared" ca="1" si="57"/>
        <v>-0.58276226596765524</v>
      </c>
      <c r="J138" s="800"/>
      <c r="K138" s="462">
        <f t="shared" si="52"/>
        <v>-458833.28000000014</v>
      </c>
      <c r="L138" s="463">
        <f t="shared" si="58"/>
        <v>-0.7432934538124415</v>
      </c>
      <c r="M138" s="796"/>
    </row>
    <row r="139" spans="1:13" ht="19.5" customHeight="1" x14ac:dyDescent="0.2">
      <c r="A139" s="514">
        <v>21600</v>
      </c>
      <c r="B139" s="642" t="s">
        <v>210</v>
      </c>
      <c r="C139" s="590"/>
      <c r="D139" s="591"/>
      <c r="E139" s="590"/>
      <c r="F139" s="591"/>
      <c r="G139" s="590"/>
      <c r="H139" s="592">
        <f t="shared" si="51"/>
        <v>0</v>
      </c>
      <c r="I139" s="463" t="str">
        <f t="shared" si="57"/>
        <v>-</v>
      </c>
      <c r="J139" s="800"/>
      <c r="K139" s="462">
        <f t="shared" si="52"/>
        <v>0</v>
      </c>
      <c r="L139" s="463" t="str">
        <f t="shared" si="58"/>
        <v>-</v>
      </c>
      <c r="M139" s="796"/>
    </row>
    <row r="140" spans="1:13" ht="99" customHeight="1" x14ac:dyDescent="0.2">
      <c r="A140" s="514">
        <v>21700</v>
      </c>
      <c r="B140" s="642" t="s">
        <v>211</v>
      </c>
      <c r="C140" s="590"/>
      <c r="D140" s="591"/>
      <c r="E140" s="590"/>
      <c r="F140" s="591"/>
      <c r="G140" s="590"/>
      <c r="H140" s="592">
        <f t="shared" si="51"/>
        <v>0</v>
      </c>
      <c r="I140" s="463" t="str">
        <f t="shared" si="57"/>
        <v>-</v>
      </c>
      <c r="J140" s="800"/>
      <c r="K140" s="462">
        <f>G140-E140</f>
        <v>0</v>
      </c>
      <c r="L140" s="463" t="str">
        <f t="shared" si="58"/>
        <v>-</v>
      </c>
      <c r="M140" s="797"/>
    </row>
    <row r="141" spans="1:13" ht="17.25" x14ac:dyDescent="0.2">
      <c r="A141" s="515"/>
      <c r="B141" s="516"/>
      <c r="C141" s="517"/>
      <c r="E141" s="531"/>
      <c r="G141" s="531"/>
      <c r="H141" s="518"/>
      <c r="I141" s="519"/>
      <c r="J141" s="520"/>
      <c r="K141" s="518"/>
      <c r="L141" s="519"/>
      <c r="M141" s="521"/>
    </row>
    <row r="142" spans="1:13" ht="17.25" x14ac:dyDescent="0.2">
      <c r="A142" s="522" t="s">
        <v>544</v>
      </c>
      <c r="B142" s="516"/>
      <c r="E142" s="532"/>
      <c r="F142" s="530"/>
      <c r="G142" s="532"/>
      <c r="H142" s="518"/>
      <c r="I142" s="519"/>
      <c r="J142" s="520"/>
      <c r="K142" s="518"/>
      <c r="L142" s="519"/>
      <c r="M142" s="521"/>
    </row>
    <row r="143" spans="1:13" ht="37.5" customHeight="1" x14ac:dyDescent="0.2">
      <c r="A143" s="799" t="s">
        <v>535</v>
      </c>
      <c r="B143" s="799"/>
      <c r="C143" s="799"/>
      <c r="D143" s="799"/>
      <c r="E143" s="799"/>
      <c r="F143" s="799"/>
      <c r="G143" s="799"/>
      <c r="H143" s="799"/>
      <c r="J143" s="520"/>
      <c r="M143" s="521"/>
    </row>
    <row r="144" spans="1:13" ht="19.5" x14ac:dyDescent="0.2">
      <c r="A144" s="524" t="s">
        <v>757</v>
      </c>
      <c r="C144" s="433"/>
      <c r="J144" s="520"/>
      <c r="M144" s="521"/>
    </row>
    <row r="145" spans="1:13" x14ac:dyDescent="0.2">
      <c r="A145" s="447" t="s">
        <v>604</v>
      </c>
      <c r="C145" s="433"/>
      <c r="J145" s="520"/>
      <c r="M145" s="521"/>
    </row>
    <row r="146" spans="1:13" ht="18.75" customHeight="1" x14ac:dyDescent="0.2">
      <c r="C146" s="433"/>
      <c r="M146" s="521"/>
    </row>
    <row r="147" spans="1:13" ht="18.75" customHeight="1" x14ac:dyDescent="0.2">
      <c r="M147" s="521"/>
    </row>
    <row r="148" spans="1:13" ht="18.75" customHeight="1" x14ac:dyDescent="0.2">
      <c r="M148" s="521"/>
    </row>
    <row r="149" spans="1:13" ht="99" customHeight="1" x14ac:dyDescent="0.2"/>
    <row r="150" spans="1:13" x14ac:dyDescent="0.2">
      <c r="M150" s="521"/>
    </row>
    <row r="152" spans="1:13" x14ac:dyDescent="0.2">
      <c r="M152" s="521"/>
    </row>
    <row r="153" spans="1:13" x14ac:dyDescent="0.2">
      <c r="M153" s="521"/>
    </row>
    <row r="154" spans="1:13" x14ac:dyDescent="0.2">
      <c r="M154" s="521"/>
    </row>
    <row r="155" spans="1:13" x14ac:dyDescent="0.2">
      <c r="M155" s="521"/>
    </row>
    <row r="156" spans="1:13" x14ac:dyDescent="0.2">
      <c r="M156" s="521"/>
    </row>
    <row r="157" spans="1:13" x14ac:dyDescent="0.2">
      <c r="M157" s="521"/>
    </row>
  </sheetData>
  <sheetProtection formatColumns="0" formatRows="0" insertRows="0" deleteRows="0"/>
  <mergeCells count="24">
    <mergeCell ref="M111:M125"/>
    <mergeCell ref="M56:M71"/>
    <mergeCell ref="J72:J87"/>
    <mergeCell ref="J111:J125"/>
    <mergeCell ref="J56:J67"/>
    <mergeCell ref="M72:M88"/>
    <mergeCell ref="J89:J103"/>
    <mergeCell ref="M89:M95"/>
    <mergeCell ref="M133:M140"/>
    <mergeCell ref="B4:H4"/>
    <mergeCell ref="B46:H46"/>
    <mergeCell ref="B106:H106"/>
    <mergeCell ref="A143:H143"/>
    <mergeCell ref="J133:J140"/>
    <mergeCell ref="J12:J14"/>
    <mergeCell ref="J24:J26"/>
    <mergeCell ref="M12:M14"/>
    <mergeCell ref="J15:J17"/>
    <mergeCell ref="M15:M17"/>
    <mergeCell ref="M18:M22"/>
    <mergeCell ref="J18:J22"/>
    <mergeCell ref="M24:M26"/>
    <mergeCell ref="J27:J30"/>
    <mergeCell ref="M27:M30"/>
  </mergeCells>
  <pageMargins left="0.70866141732283472" right="0.70866141732283472" top="0.15748031496062992" bottom="0.15748031496062992" header="0.31496062992125984" footer="0.31496062992125984"/>
  <pageSetup paperSize="9" fitToHeight="2" orientation="landscape" r:id="rId1"/>
  <headerFooter>
    <oddHeader xml:space="preserve">&amp;C&amp;"Times New Roman,Bold"&amp;14
Naudas plūsma&amp;R&amp;"Times New Roman,Regular"&amp;14 4.pielikums
</oddHeader>
    <oddFooter>&amp;C&amp;"Times New Roman,Regular"&amp;12&amp;F&amp;R&amp;"Times New Roman,Regular"&amp;12&amp;P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5">
    <tabColor rgb="FF92D050"/>
    <pageSetUpPr fitToPage="1"/>
  </sheetPr>
  <dimension ref="A1:O107"/>
  <sheetViews>
    <sheetView topLeftCell="A23" zoomScale="80" zoomScaleNormal="80" zoomScalePageLayoutView="40" workbookViewId="0">
      <selection activeCell="I87" sqref="I87"/>
    </sheetView>
  </sheetViews>
  <sheetFormatPr defaultRowHeight="18.75" x14ac:dyDescent="0.2"/>
  <cols>
    <col min="1" max="1" width="9.5703125" style="12" customWidth="1"/>
    <col min="2" max="2" width="50.28515625" style="12" customWidth="1"/>
    <col min="3" max="3" width="12.7109375" style="12" customWidth="1"/>
    <col min="4" max="4" width="16.85546875" style="12" bestFit="1" customWidth="1"/>
    <col min="5" max="5" width="20.5703125" style="12" customWidth="1"/>
    <col min="6" max="6" width="16.42578125" style="357" customWidth="1"/>
    <col min="7" max="7" width="20.5703125" style="12" customWidth="1"/>
    <col min="8" max="8" width="22.5703125" style="12" customWidth="1"/>
    <col min="9" max="9" width="19.28515625" style="44" customWidth="1"/>
    <col min="10" max="10" width="37.28515625" style="44" customWidth="1"/>
    <col min="11" max="11" width="27" style="44" customWidth="1"/>
    <col min="12" max="12" width="22.85546875" style="12" customWidth="1"/>
    <col min="13" max="13" width="57.5703125" style="12" customWidth="1"/>
    <col min="14" max="16" width="9.140625" style="12" customWidth="1"/>
    <col min="17" max="16384" width="9.140625" style="12"/>
  </cols>
  <sheetData>
    <row r="1" spans="1:15" ht="131.25" x14ac:dyDescent="0.2">
      <c r="A1" s="10" t="s">
        <v>0</v>
      </c>
      <c r="B1" s="11" t="s">
        <v>281</v>
      </c>
      <c r="C1" s="1" t="s">
        <v>681</v>
      </c>
      <c r="D1" s="1" t="s">
        <v>682</v>
      </c>
      <c r="E1" s="1" t="s">
        <v>780</v>
      </c>
      <c r="F1" s="1" t="s">
        <v>777</v>
      </c>
      <c r="G1" s="1" t="s">
        <v>779</v>
      </c>
      <c r="H1" s="7" t="s">
        <v>683</v>
      </c>
      <c r="I1" s="7" t="s">
        <v>684</v>
      </c>
      <c r="J1" s="46" t="s">
        <v>606</v>
      </c>
      <c r="K1" s="7" t="s">
        <v>685</v>
      </c>
      <c r="L1" s="7" t="s">
        <v>686</v>
      </c>
      <c r="M1" s="358" t="s">
        <v>606</v>
      </c>
      <c r="N1" s="359"/>
    </row>
    <row r="2" spans="1:15" x14ac:dyDescent="0.2">
      <c r="A2" s="8">
        <v>1</v>
      </c>
      <c r="B2" s="1">
        <v>2</v>
      </c>
      <c r="C2" s="102">
        <v>3</v>
      </c>
      <c r="D2" s="102">
        <v>4</v>
      </c>
      <c r="E2" s="8">
        <v>5</v>
      </c>
      <c r="F2" s="1">
        <v>6</v>
      </c>
      <c r="G2" s="102">
        <v>7</v>
      </c>
      <c r="H2" s="102">
        <v>8</v>
      </c>
      <c r="I2" s="8">
        <v>9</v>
      </c>
      <c r="J2" s="1">
        <v>10</v>
      </c>
      <c r="K2" s="102">
        <v>11</v>
      </c>
      <c r="L2" s="102">
        <v>12</v>
      </c>
      <c r="M2" s="8">
        <v>13</v>
      </c>
    </row>
    <row r="3" spans="1:15" ht="19.5" x14ac:dyDescent="0.2">
      <c r="A3" s="15" t="s">
        <v>280</v>
      </c>
      <c r="B3" s="16" t="s">
        <v>467</v>
      </c>
      <c r="C3" s="17" t="s">
        <v>215</v>
      </c>
      <c r="D3" s="17" t="s">
        <v>215</v>
      </c>
      <c r="E3" s="17" t="s">
        <v>215</v>
      </c>
      <c r="F3" s="17" t="s">
        <v>215</v>
      </c>
      <c r="G3" s="17" t="s">
        <v>215</v>
      </c>
      <c r="H3" s="17" t="s">
        <v>215</v>
      </c>
      <c r="I3" s="18" t="s">
        <v>215</v>
      </c>
      <c r="J3" s="18" t="s">
        <v>215</v>
      </c>
      <c r="K3" s="19" t="s">
        <v>215</v>
      </c>
      <c r="L3" s="19" t="s">
        <v>215</v>
      </c>
      <c r="M3" s="19" t="s">
        <v>215</v>
      </c>
    </row>
    <row r="4" spans="1:15" ht="75" x14ac:dyDescent="0.2">
      <c r="A4" s="20" t="s">
        <v>279</v>
      </c>
      <c r="B4" s="21" t="s">
        <v>468</v>
      </c>
      <c r="C4" s="22" t="s">
        <v>215</v>
      </c>
      <c r="D4" s="22" t="s">
        <v>215</v>
      </c>
      <c r="E4" s="22" t="s">
        <v>215</v>
      </c>
      <c r="F4" s="22" t="s">
        <v>215</v>
      </c>
      <c r="G4" s="22" t="s">
        <v>215</v>
      </c>
      <c r="H4" s="22" t="s">
        <v>215</v>
      </c>
      <c r="I4" s="23" t="s">
        <v>215</v>
      </c>
      <c r="J4" s="23" t="s">
        <v>215</v>
      </c>
      <c r="K4" s="23" t="s">
        <v>215</v>
      </c>
      <c r="L4" s="23" t="s">
        <v>215</v>
      </c>
      <c r="M4" s="23" t="s">
        <v>215</v>
      </c>
    </row>
    <row r="5" spans="1:15" ht="122.25" customHeight="1" x14ac:dyDescent="0.2">
      <c r="A5" s="24" t="s">
        <v>278</v>
      </c>
      <c r="B5" s="141" t="s">
        <v>469</v>
      </c>
      <c r="C5" s="142">
        <v>25395</v>
      </c>
      <c r="D5" s="228">
        <v>26013</v>
      </c>
      <c r="E5" s="142">
        <v>25395</v>
      </c>
      <c r="F5" s="228">
        <v>26013</v>
      </c>
      <c r="G5" s="142">
        <v>27752</v>
      </c>
      <c r="H5" s="143">
        <f>G5-F5</f>
        <v>1739</v>
      </c>
      <c r="I5" s="51">
        <f>IFERROR(H5/ABS(F5), "-")</f>
        <v>6.685118978972053E-2</v>
      </c>
      <c r="J5" s="168"/>
      <c r="K5" s="58">
        <f>G5-E5</f>
        <v>2357</v>
      </c>
      <c r="L5" s="59">
        <f>IFERROR(K5/ABS(E5), "-")</f>
        <v>9.2813545973616851E-2</v>
      </c>
      <c r="M5" s="168"/>
      <c r="O5" s="1"/>
    </row>
    <row r="6" spans="1:15" ht="56.25" x14ac:dyDescent="0.2">
      <c r="A6" s="24" t="s">
        <v>277</v>
      </c>
      <c r="B6" s="144" t="s">
        <v>641</v>
      </c>
      <c r="C6" s="6">
        <v>21821</v>
      </c>
      <c r="D6" s="348">
        <v>22259</v>
      </c>
      <c r="E6" s="6">
        <v>21821</v>
      </c>
      <c r="F6" s="348">
        <v>22259</v>
      </c>
      <c r="G6" s="6">
        <v>24030</v>
      </c>
      <c r="H6" s="58">
        <f t="shared" ref="H6:H14" si="0">G6-F6</f>
        <v>1771</v>
      </c>
      <c r="I6" s="51">
        <f t="shared" ref="I6:I14" si="1">IFERROR(H6/ABS(F6), "-")</f>
        <v>7.9563322700929959E-2</v>
      </c>
      <c r="J6" s="168"/>
      <c r="K6" s="58">
        <f t="shared" ref="K6:K14" si="2">G6-E6</f>
        <v>2209</v>
      </c>
      <c r="L6" s="59">
        <f t="shared" ref="L6:L14" si="3">IFERROR(K6/ABS(E6), "-")</f>
        <v>0.10123275743549791</v>
      </c>
      <c r="M6" s="135" t="s">
        <v>736</v>
      </c>
    </row>
    <row r="7" spans="1:15" ht="37.5" x14ac:dyDescent="0.2">
      <c r="A7" s="24" t="s">
        <v>276</v>
      </c>
      <c r="B7" s="144" t="s">
        <v>642</v>
      </c>
      <c r="C7" s="6">
        <v>3574</v>
      </c>
      <c r="D7" s="75">
        <v>3754</v>
      </c>
      <c r="E7" s="6">
        <v>3574</v>
      </c>
      <c r="F7" s="75">
        <v>3754</v>
      </c>
      <c r="G7" s="77">
        <v>3722</v>
      </c>
      <c r="H7" s="58">
        <f t="shared" si="0"/>
        <v>-32</v>
      </c>
      <c r="I7" s="51">
        <f t="shared" si="1"/>
        <v>-8.5242408098028764E-3</v>
      </c>
      <c r="J7" s="168"/>
      <c r="K7" s="58">
        <f t="shared" si="2"/>
        <v>148</v>
      </c>
      <c r="L7" s="59">
        <f t="shared" si="3"/>
        <v>4.1410184667039732E-2</v>
      </c>
      <c r="M7" s="168"/>
    </row>
    <row r="8" spans="1:15" ht="56.25" x14ac:dyDescent="0.2">
      <c r="A8" s="24" t="s">
        <v>275</v>
      </c>
      <c r="B8" s="144" t="s">
        <v>643</v>
      </c>
      <c r="C8" s="142"/>
      <c r="D8" s="10"/>
      <c r="E8" s="142"/>
      <c r="F8" s="10"/>
      <c r="G8" s="390"/>
      <c r="H8" s="143">
        <f t="shared" si="0"/>
        <v>0</v>
      </c>
      <c r="I8" s="51" t="str">
        <f t="shared" si="1"/>
        <v>-</v>
      </c>
      <c r="J8" s="134"/>
      <c r="K8" s="58">
        <f t="shared" si="2"/>
        <v>0</v>
      </c>
      <c r="L8" s="59" t="str">
        <f t="shared" si="3"/>
        <v>-</v>
      </c>
      <c r="M8" s="47"/>
    </row>
    <row r="9" spans="1:15" ht="56.25" x14ac:dyDescent="0.2">
      <c r="A9" s="145" t="s">
        <v>274</v>
      </c>
      <c r="B9" s="146" t="s">
        <v>470</v>
      </c>
      <c r="C9" s="6"/>
      <c r="D9" s="75"/>
      <c r="E9" s="6"/>
      <c r="F9" s="75"/>
      <c r="G9" s="391"/>
      <c r="H9" s="58">
        <f t="shared" si="0"/>
        <v>0</v>
      </c>
      <c r="I9" s="51" t="str">
        <f t="shared" si="1"/>
        <v>-</v>
      </c>
      <c r="J9" s="134"/>
      <c r="K9" s="58">
        <f t="shared" si="2"/>
        <v>0</v>
      </c>
      <c r="L9" s="59" t="str">
        <f t="shared" si="3"/>
        <v>-</v>
      </c>
      <c r="M9" s="47"/>
    </row>
    <row r="10" spans="1:15" ht="37.5" x14ac:dyDescent="0.2">
      <c r="A10" s="145" t="s">
        <v>273</v>
      </c>
      <c r="B10" s="146" t="s">
        <v>471</v>
      </c>
      <c r="C10" s="6"/>
      <c r="D10" s="75"/>
      <c r="E10" s="6"/>
      <c r="F10" s="75"/>
      <c r="G10" s="391"/>
      <c r="H10" s="58">
        <f t="shared" si="0"/>
        <v>0</v>
      </c>
      <c r="I10" s="51" t="str">
        <f t="shared" si="1"/>
        <v>-</v>
      </c>
      <c r="J10" s="134"/>
      <c r="K10" s="58">
        <f t="shared" si="2"/>
        <v>0</v>
      </c>
      <c r="L10" s="59" t="str">
        <f t="shared" si="3"/>
        <v>-</v>
      </c>
      <c r="M10" s="47"/>
    </row>
    <row r="11" spans="1:15" ht="37.5" x14ac:dyDescent="0.2">
      <c r="A11" s="145" t="s">
        <v>472</v>
      </c>
      <c r="B11" s="147" t="s">
        <v>473</v>
      </c>
      <c r="C11" s="148">
        <v>3574</v>
      </c>
      <c r="D11" s="349">
        <v>3754</v>
      </c>
      <c r="E11" s="148">
        <v>3574</v>
      </c>
      <c r="F11" s="349">
        <v>3754</v>
      </c>
      <c r="G11" s="148">
        <v>3722</v>
      </c>
      <c r="H11" s="149">
        <f t="shared" si="0"/>
        <v>-32</v>
      </c>
      <c r="I11" s="51">
        <f t="shared" si="1"/>
        <v>-8.5242408098028764E-3</v>
      </c>
      <c r="J11" s="168"/>
      <c r="K11" s="150">
        <f t="shared" si="2"/>
        <v>148</v>
      </c>
      <c r="L11" s="151">
        <f>IFERROR(K11/ABS(E11), "-")</f>
        <v>4.1410184667039732E-2</v>
      </c>
      <c r="M11" s="168"/>
    </row>
    <row r="12" spans="1:15" ht="56.25" x14ac:dyDescent="0.2">
      <c r="A12" s="145" t="s">
        <v>474</v>
      </c>
      <c r="B12" s="147" t="s">
        <v>526</v>
      </c>
      <c r="C12" s="346">
        <f t="shared" ref="C12:D12" si="4">C7/C5</f>
        <v>0.14073636542626503</v>
      </c>
      <c r="D12" s="346">
        <f t="shared" si="4"/>
        <v>0.14431245915503788</v>
      </c>
      <c r="E12" s="346">
        <f t="shared" ref="E12:F12" si="5">E7/E5</f>
        <v>0.14073636542626503</v>
      </c>
      <c r="F12" s="346">
        <f t="shared" si="5"/>
        <v>0.14431245915503788</v>
      </c>
      <c r="G12" s="392">
        <v>0.1341</v>
      </c>
      <c r="H12" s="61">
        <f t="shared" si="0"/>
        <v>-1.0212459155037878E-2</v>
      </c>
      <c r="I12" s="51">
        <f t="shared" si="1"/>
        <v>-7.0766302610548837E-2</v>
      </c>
      <c r="J12" s="168"/>
      <c r="K12" s="150">
        <f t="shared" si="2"/>
        <v>-6.6363654262650285E-3</v>
      </c>
      <c r="L12" s="151">
        <f>IFERROR(K12/ABS(E12), "-")</f>
        <v>-4.7154588696138887E-2</v>
      </c>
      <c r="M12" s="168"/>
    </row>
    <row r="13" spans="1:15" x14ac:dyDescent="0.2">
      <c r="A13" s="145" t="s">
        <v>475</v>
      </c>
      <c r="B13" s="147" t="s">
        <v>644</v>
      </c>
      <c r="C13" s="152"/>
      <c r="D13" s="350"/>
      <c r="E13" s="152"/>
      <c r="F13" s="350"/>
      <c r="G13" s="152"/>
      <c r="H13" s="150">
        <f t="shared" si="0"/>
        <v>0</v>
      </c>
      <c r="I13" s="51" t="str">
        <f t="shared" si="1"/>
        <v>-</v>
      </c>
      <c r="J13" s="134"/>
      <c r="K13" s="150">
        <f t="shared" si="2"/>
        <v>0</v>
      </c>
      <c r="L13" s="151" t="str">
        <f t="shared" si="3"/>
        <v>-</v>
      </c>
      <c r="M13" s="138"/>
    </row>
    <row r="14" spans="1:15" ht="56.25" x14ac:dyDescent="0.2">
      <c r="A14" s="145" t="s">
        <v>476</v>
      </c>
      <c r="B14" s="147" t="s">
        <v>477</v>
      </c>
      <c r="C14" s="53">
        <v>0</v>
      </c>
      <c r="D14" s="346"/>
      <c r="E14" s="53">
        <v>0</v>
      </c>
      <c r="F14" s="346"/>
      <c r="G14" s="53"/>
      <c r="H14" s="61">
        <f t="shared" si="0"/>
        <v>0</v>
      </c>
      <c r="I14" s="51" t="str">
        <f t="shared" si="1"/>
        <v>-</v>
      </c>
      <c r="J14" s="134"/>
      <c r="K14" s="150">
        <f t="shared" si="2"/>
        <v>0</v>
      </c>
      <c r="L14" s="151" t="str">
        <f t="shared" si="3"/>
        <v>-</v>
      </c>
      <c r="M14" s="138"/>
    </row>
    <row r="15" spans="1:15" ht="19.5" x14ac:dyDescent="0.2">
      <c r="A15" s="20" t="s">
        <v>272</v>
      </c>
      <c r="B15" s="153" t="s">
        <v>478</v>
      </c>
      <c r="C15" s="17" t="s">
        <v>215</v>
      </c>
      <c r="D15" s="17" t="s">
        <v>215</v>
      </c>
      <c r="E15" s="17" t="s">
        <v>215</v>
      </c>
      <c r="F15" s="17" t="s">
        <v>215</v>
      </c>
      <c r="G15" s="17" t="s">
        <v>215</v>
      </c>
      <c r="H15" s="22" t="s">
        <v>215</v>
      </c>
      <c r="I15" s="136" t="s">
        <v>215</v>
      </c>
      <c r="J15" s="136" t="s">
        <v>215</v>
      </c>
      <c r="K15" s="136" t="s">
        <v>215</v>
      </c>
      <c r="L15" s="136" t="s">
        <v>215</v>
      </c>
      <c r="M15" s="136" t="s">
        <v>215</v>
      </c>
    </row>
    <row r="16" spans="1:15" x14ac:dyDescent="0.2">
      <c r="A16" s="154" t="s">
        <v>271</v>
      </c>
      <c r="B16" s="155" t="s">
        <v>270</v>
      </c>
      <c r="C16" s="347">
        <v>214</v>
      </c>
      <c r="D16" s="2">
        <v>220</v>
      </c>
      <c r="E16" s="347">
        <v>214</v>
      </c>
      <c r="F16" s="2">
        <v>220</v>
      </c>
      <c r="G16" s="2">
        <v>220</v>
      </c>
      <c r="H16" s="60">
        <f t="shared" ref="H16:H30" si="6">G16-F16</f>
        <v>0</v>
      </c>
      <c r="I16" s="51">
        <f t="shared" ref="I16:I30" si="7">IFERROR(H16/ABS(F16), "-")</f>
        <v>0</v>
      </c>
      <c r="J16" s="134"/>
      <c r="K16" s="60">
        <f t="shared" ref="K16:K30" si="8">G16-E16</f>
        <v>6</v>
      </c>
      <c r="L16" s="59">
        <f t="shared" ref="L16:L30" si="9">IFERROR(K16/ABS(E16), "-")</f>
        <v>2.8037383177570093E-2</v>
      </c>
      <c r="M16" s="48"/>
    </row>
    <row r="17" spans="1:15" ht="72.75" customHeight="1" x14ac:dyDescent="0.2">
      <c r="A17" s="154" t="s">
        <v>347</v>
      </c>
      <c r="B17" s="156" t="s">
        <v>479</v>
      </c>
      <c r="C17" s="2">
        <v>35191</v>
      </c>
      <c r="D17" s="6">
        <v>37303</v>
      </c>
      <c r="E17" s="2">
        <v>35191</v>
      </c>
      <c r="F17" s="6">
        <v>37303</v>
      </c>
      <c r="G17" s="2">
        <v>40713</v>
      </c>
      <c r="H17" s="58">
        <f t="shared" si="6"/>
        <v>3410</v>
      </c>
      <c r="I17" s="51">
        <f t="shared" si="7"/>
        <v>9.1413559231161026E-2</v>
      </c>
      <c r="J17" s="168"/>
      <c r="K17" s="58">
        <f t="shared" si="8"/>
        <v>5522</v>
      </c>
      <c r="L17" s="59">
        <f t="shared" si="9"/>
        <v>0.1569151203432696</v>
      </c>
      <c r="M17" s="135" t="s">
        <v>737</v>
      </c>
    </row>
    <row r="18" spans="1:15" ht="37.5" x14ac:dyDescent="0.2">
      <c r="A18" s="25" t="s">
        <v>282</v>
      </c>
      <c r="B18" s="14" t="s">
        <v>480</v>
      </c>
      <c r="C18" s="3">
        <v>586</v>
      </c>
      <c r="D18" s="3">
        <v>578</v>
      </c>
      <c r="E18" s="3">
        <v>586</v>
      </c>
      <c r="F18" s="3">
        <v>578</v>
      </c>
      <c r="G18" s="3">
        <v>564</v>
      </c>
      <c r="H18" s="65">
        <f t="shared" si="6"/>
        <v>-14</v>
      </c>
      <c r="I18" s="52">
        <f>IFERROR(H18/ABS(F18), "-")</f>
        <v>-2.4221453287197232E-2</v>
      </c>
      <c r="J18" s="655"/>
      <c r="K18" s="65">
        <f>G18-E18</f>
        <v>-22</v>
      </c>
      <c r="L18" s="57">
        <f t="shared" si="9"/>
        <v>-3.7542662116040959E-2</v>
      </c>
      <c r="M18" s="655"/>
    </row>
    <row r="19" spans="1:15" ht="37.5" x14ac:dyDescent="0.2">
      <c r="A19" s="25" t="s">
        <v>283</v>
      </c>
      <c r="B19" s="14" t="s">
        <v>481</v>
      </c>
      <c r="C19" s="3">
        <v>612</v>
      </c>
      <c r="D19" s="3">
        <v>597</v>
      </c>
      <c r="E19" s="3">
        <v>612</v>
      </c>
      <c r="F19" s="3">
        <v>597</v>
      </c>
      <c r="G19" s="3">
        <v>557</v>
      </c>
      <c r="H19" s="65">
        <f t="shared" si="6"/>
        <v>-40</v>
      </c>
      <c r="I19" s="52">
        <f t="shared" si="7"/>
        <v>-6.7001675041876041E-2</v>
      </c>
      <c r="J19" s="655"/>
      <c r="K19" s="65">
        <f t="shared" si="8"/>
        <v>-55</v>
      </c>
      <c r="L19" s="57">
        <f t="shared" si="9"/>
        <v>-8.9869281045751634E-2</v>
      </c>
      <c r="M19" s="655"/>
    </row>
    <row r="20" spans="1:15" ht="37.5" x14ac:dyDescent="0.2">
      <c r="A20" s="154" t="s">
        <v>269</v>
      </c>
      <c r="B20" s="157" t="s">
        <v>645</v>
      </c>
      <c r="C20" s="2">
        <v>6086</v>
      </c>
      <c r="D20" s="6">
        <v>6466</v>
      </c>
      <c r="E20" s="2">
        <v>6086</v>
      </c>
      <c r="F20" s="6">
        <v>6466</v>
      </c>
      <c r="G20" s="2">
        <v>6980</v>
      </c>
      <c r="H20" s="58">
        <f t="shared" si="6"/>
        <v>514</v>
      </c>
      <c r="I20" s="51">
        <f t="shared" si="7"/>
        <v>7.9492731209403034E-2</v>
      </c>
      <c r="J20" s="168"/>
      <c r="K20" s="58">
        <f t="shared" si="8"/>
        <v>894</v>
      </c>
      <c r="L20" s="59">
        <f t="shared" si="9"/>
        <v>0.14689451199474204</v>
      </c>
      <c r="M20" s="135" t="s">
        <v>737</v>
      </c>
    </row>
    <row r="21" spans="1:15" ht="37.5" x14ac:dyDescent="0.2">
      <c r="A21" s="158" t="s">
        <v>345</v>
      </c>
      <c r="B21" s="159" t="s">
        <v>646</v>
      </c>
      <c r="C21" s="2">
        <v>5827</v>
      </c>
      <c r="D21" s="6">
        <v>6189</v>
      </c>
      <c r="E21" s="2">
        <v>5827</v>
      </c>
      <c r="F21" s="6">
        <v>6189</v>
      </c>
      <c r="G21" s="2">
        <v>6658</v>
      </c>
      <c r="H21" s="58">
        <f t="shared" si="6"/>
        <v>469</v>
      </c>
      <c r="I21" s="51">
        <f t="shared" si="7"/>
        <v>7.5779608983680719E-2</v>
      </c>
      <c r="J21" s="168"/>
      <c r="K21" s="58">
        <f t="shared" si="8"/>
        <v>831</v>
      </c>
      <c r="L21" s="59">
        <f t="shared" si="9"/>
        <v>0.14261197871975287</v>
      </c>
      <c r="M21" s="135" t="s">
        <v>737</v>
      </c>
      <c r="O21" s="12" t="s">
        <v>633</v>
      </c>
    </row>
    <row r="22" spans="1:15" ht="56.25" x14ac:dyDescent="0.2">
      <c r="A22" s="154" t="s">
        <v>268</v>
      </c>
      <c r="B22" s="155" t="s">
        <v>647</v>
      </c>
      <c r="C22" s="2">
        <v>2512</v>
      </c>
      <c r="D22" s="6">
        <v>2712</v>
      </c>
      <c r="E22" s="2">
        <v>2512</v>
      </c>
      <c r="F22" s="6">
        <v>2712</v>
      </c>
      <c r="G22" s="2">
        <v>3258</v>
      </c>
      <c r="H22" s="58">
        <f t="shared" si="6"/>
        <v>546</v>
      </c>
      <c r="I22" s="51">
        <f t="shared" si="7"/>
        <v>0.20132743362831859</v>
      </c>
      <c r="J22" s="135" t="s">
        <v>786</v>
      </c>
      <c r="K22" s="58">
        <f t="shared" si="8"/>
        <v>746</v>
      </c>
      <c r="L22" s="59">
        <f t="shared" si="9"/>
        <v>0.29697452229299365</v>
      </c>
      <c r="M22" s="135" t="s">
        <v>737</v>
      </c>
    </row>
    <row r="23" spans="1:15" ht="56.25" x14ac:dyDescent="0.2">
      <c r="A23" s="158" t="s">
        <v>346</v>
      </c>
      <c r="B23" s="159" t="s">
        <v>648</v>
      </c>
      <c r="C23" s="2">
        <v>2275</v>
      </c>
      <c r="D23" s="6">
        <v>2457</v>
      </c>
      <c r="E23" s="2">
        <v>2275</v>
      </c>
      <c r="F23" s="6">
        <v>2457</v>
      </c>
      <c r="G23" s="2">
        <v>2964</v>
      </c>
      <c r="H23" s="58">
        <f t="shared" si="6"/>
        <v>507</v>
      </c>
      <c r="I23" s="51">
        <f t="shared" si="7"/>
        <v>0.20634920634920634</v>
      </c>
      <c r="J23" s="135" t="s">
        <v>786</v>
      </c>
      <c r="K23" s="58">
        <f t="shared" si="8"/>
        <v>689</v>
      </c>
      <c r="L23" s="59">
        <f t="shared" si="9"/>
        <v>0.30285714285714288</v>
      </c>
      <c r="M23" s="135" t="s">
        <v>737</v>
      </c>
    </row>
    <row r="24" spans="1:15" ht="37.5" x14ac:dyDescent="0.2">
      <c r="A24" s="158" t="s">
        <v>482</v>
      </c>
      <c r="B24" s="157" t="s">
        <v>649</v>
      </c>
      <c r="C24" s="2">
        <v>3574</v>
      </c>
      <c r="D24" s="77">
        <v>3754</v>
      </c>
      <c r="E24" s="2">
        <v>3574</v>
      </c>
      <c r="F24" s="77">
        <v>3754</v>
      </c>
      <c r="G24" s="2">
        <v>3722</v>
      </c>
      <c r="H24" s="58">
        <f t="shared" si="6"/>
        <v>-32</v>
      </c>
      <c r="I24" s="51">
        <f t="shared" si="7"/>
        <v>-8.5242408098028764E-3</v>
      </c>
      <c r="J24" s="168"/>
      <c r="K24" s="58">
        <f t="shared" si="8"/>
        <v>148</v>
      </c>
      <c r="L24" s="59">
        <f t="shared" si="9"/>
        <v>4.1410184667039732E-2</v>
      </c>
      <c r="M24" s="168"/>
    </row>
    <row r="25" spans="1:15" ht="37.5" x14ac:dyDescent="0.2">
      <c r="A25" s="158" t="s">
        <v>483</v>
      </c>
      <c r="B25" s="159" t="s">
        <v>650</v>
      </c>
      <c r="C25" s="2">
        <v>3552</v>
      </c>
      <c r="D25" s="6">
        <v>3732</v>
      </c>
      <c r="E25" s="2">
        <v>3552</v>
      </c>
      <c r="F25" s="6">
        <v>3732</v>
      </c>
      <c r="G25" s="2">
        <v>3694</v>
      </c>
      <c r="H25" s="58">
        <f t="shared" si="6"/>
        <v>-38</v>
      </c>
      <c r="I25" s="51">
        <f t="shared" si="7"/>
        <v>-1.0182207931404072E-2</v>
      </c>
      <c r="J25" s="168"/>
      <c r="K25" s="58">
        <f t="shared" si="8"/>
        <v>142</v>
      </c>
      <c r="L25" s="59">
        <f t="shared" si="9"/>
        <v>3.9977477477477479E-2</v>
      </c>
      <c r="M25" s="168"/>
    </row>
    <row r="26" spans="1:15" ht="56.25" x14ac:dyDescent="0.2">
      <c r="A26" s="154" t="s">
        <v>267</v>
      </c>
      <c r="B26" s="147" t="s">
        <v>651</v>
      </c>
      <c r="C26" s="2"/>
      <c r="D26" s="6"/>
      <c r="E26" s="2"/>
      <c r="F26" s="6"/>
      <c r="G26" s="2"/>
      <c r="H26" s="58">
        <f t="shared" si="6"/>
        <v>0</v>
      </c>
      <c r="I26" s="51" t="str">
        <f t="shared" si="7"/>
        <v>-</v>
      </c>
      <c r="J26" s="134"/>
      <c r="K26" s="58">
        <f t="shared" si="8"/>
        <v>0</v>
      </c>
      <c r="L26" s="59" t="str">
        <f t="shared" si="9"/>
        <v>-</v>
      </c>
      <c r="M26" s="47"/>
    </row>
    <row r="27" spans="1:15" ht="132" customHeight="1" x14ac:dyDescent="0.2">
      <c r="A27" s="154" t="s">
        <v>266</v>
      </c>
      <c r="B27" s="147" t="s">
        <v>652</v>
      </c>
      <c r="C27" s="2">
        <v>22</v>
      </c>
      <c r="D27" s="6">
        <v>31</v>
      </c>
      <c r="E27" s="2">
        <v>22</v>
      </c>
      <c r="F27" s="6">
        <v>31</v>
      </c>
      <c r="G27" s="2">
        <v>21</v>
      </c>
      <c r="H27" s="58">
        <f t="shared" si="6"/>
        <v>-10</v>
      </c>
      <c r="I27" s="51">
        <f t="shared" si="7"/>
        <v>-0.32258064516129031</v>
      </c>
      <c r="J27" s="135" t="s">
        <v>759</v>
      </c>
      <c r="K27" s="58">
        <f t="shared" si="8"/>
        <v>-1</v>
      </c>
      <c r="L27" s="59">
        <f t="shared" si="9"/>
        <v>-4.5454545454545456E-2</v>
      </c>
      <c r="M27" s="168"/>
    </row>
    <row r="28" spans="1:15" ht="56.25" x14ac:dyDescent="0.2">
      <c r="A28" s="154" t="s">
        <v>265</v>
      </c>
      <c r="B28" s="147" t="s">
        <v>332</v>
      </c>
      <c r="C28" s="2">
        <v>11662</v>
      </c>
      <c r="D28" s="6">
        <v>12363</v>
      </c>
      <c r="E28" s="2">
        <v>11662</v>
      </c>
      <c r="F28" s="6">
        <v>12363</v>
      </c>
      <c r="G28" s="2">
        <v>13676</v>
      </c>
      <c r="H28" s="58">
        <f t="shared" si="6"/>
        <v>1313</v>
      </c>
      <c r="I28" s="51">
        <f t="shared" si="7"/>
        <v>0.10620399579390116</v>
      </c>
      <c r="J28" s="135" t="s">
        <v>786</v>
      </c>
      <c r="K28" s="58">
        <f t="shared" si="8"/>
        <v>2014</v>
      </c>
      <c r="L28" s="59">
        <f t="shared" si="9"/>
        <v>0.17269765048876692</v>
      </c>
      <c r="M28" s="135" t="s">
        <v>786</v>
      </c>
    </row>
    <row r="29" spans="1:15" ht="37.5" x14ac:dyDescent="0.2">
      <c r="A29" s="25" t="s">
        <v>264</v>
      </c>
      <c r="B29" s="14" t="s">
        <v>333</v>
      </c>
      <c r="C29" s="3">
        <v>5.88</v>
      </c>
      <c r="D29" s="77">
        <v>5.82</v>
      </c>
      <c r="E29" s="3">
        <v>5.88</v>
      </c>
      <c r="F29" s="77">
        <v>5.82</v>
      </c>
      <c r="G29" s="3">
        <v>5.83</v>
      </c>
      <c r="H29" s="56">
        <f t="shared" si="6"/>
        <v>9.9999999999997868E-3</v>
      </c>
      <c r="I29" s="52">
        <f t="shared" si="7"/>
        <v>1.7182130584192073E-3</v>
      </c>
      <c r="J29" s="137"/>
      <c r="K29" s="56">
        <f t="shared" si="8"/>
        <v>-4.9999999999999822E-2</v>
      </c>
      <c r="L29" s="57">
        <f t="shared" si="9"/>
        <v>-8.5034013605441872E-3</v>
      </c>
      <c r="M29" s="139"/>
    </row>
    <row r="30" spans="1:15" ht="37.5" x14ac:dyDescent="0.2">
      <c r="A30" s="25" t="s">
        <v>263</v>
      </c>
      <c r="B30" s="14" t="s">
        <v>527</v>
      </c>
      <c r="C30" s="3">
        <v>45.73</v>
      </c>
      <c r="D30" s="77">
        <v>48.02</v>
      </c>
      <c r="E30" s="3">
        <v>45.73</v>
      </c>
      <c r="F30" s="77">
        <v>48.02</v>
      </c>
      <c r="G30" s="3">
        <v>50.58</v>
      </c>
      <c r="H30" s="56">
        <f t="shared" si="6"/>
        <v>2.5599999999999952</v>
      </c>
      <c r="I30" s="52">
        <f t="shared" si="7"/>
        <v>5.3311120366513851E-2</v>
      </c>
      <c r="J30" s="168"/>
      <c r="K30" s="56">
        <f t="shared" si="8"/>
        <v>4.8500000000000014</v>
      </c>
      <c r="L30" s="57">
        <f t="shared" si="9"/>
        <v>0.10605729280559811</v>
      </c>
      <c r="M30" s="135" t="s">
        <v>737</v>
      </c>
    </row>
    <row r="31" spans="1:15" x14ac:dyDescent="0.2">
      <c r="A31" s="160" t="s">
        <v>262</v>
      </c>
      <c r="B31" s="161" t="s">
        <v>484</v>
      </c>
      <c r="C31" s="17" t="s">
        <v>215</v>
      </c>
      <c r="D31" s="17" t="s">
        <v>215</v>
      </c>
      <c r="E31" s="17" t="s">
        <v>215</v>
      </c>
      <c r="F31" s="17" t="s">
        <v>215</v>
      </c>
      <c r="G31" s="17" t="s">
        <v>215</v>
      </c>
      <c r="H31" s="17" t="s">
        <v>215</v>
      </c>
      <c r="I31" s="17" t="s">
        <v>215</v>
      </c>
      <c r="J31" s="17" t="s">
        <v>215</v>
      </c>
      <c r="K31" s="17" t="s">
        <v>215</v>
      </c>
      <c r="L31" s="17" t="s">
        <v>215</v>
      </c>
      <c r="M31" s="17" t="s">
        <v>215</v>
      </c>
    </row>
    <row r="32" spans="1:15" x14ac:dyDescent="0.2">
      <c r="A32" s="25" t="s">
        <v>260</v>
      </c>
      <c r="B32" s="14" t="s">
        <v>485</v>
      </c>
      <c r="C32" s="162">
        <v>103252</v>
      </c>
      <c r="D32" s="351">
        <v>108417</v>
      </c>
      <c r="E32" s="162">
        <v>103252</v>
      </c>
      <c r="F32" s="351">
        <v>108417</v>
      </c>
      <c r="G32" s="162">
        <v>111754</v>
      </c>
      <c r="H32" s="143">
        <f t="shared" ref="H32:H40" si="10">G32-F32</f>
        <v>3337</v>
      </c>
      <c r="I32" s="51">
        <f t="shared" ref="I32:I40" si="11">IFERROR(H32/ABS(F32), "-")</f>
        <v>3.0779305828421741E-2</v>
      </c>
      <c r="J32" s="168"/>
      <c r="K32" s="58">
        <f t="shared" ref="K32:K40" si="12">G32-E32</f>
        <v>8502</v>
      </c>
      <c r="L32" s="59">
        <f t="shared" ref="L32:L40" si="13">IFERROR(K32/ABS(E32), "-")</f>
        <v>8.2342230658970283E-2</v>
      </c>
      <c r="M32" s="168"/>
    </row>
    <row r="33" spans="1:13" x14ac:dyDescent="0.2">
      <c r="A33" s="154" t="s">
        <v>334</v>
      </c>
      <c r="B33" s="109" t="s">
        <v>486</v>
      </c>
      <c r="C33" s="2">
        <v>84242</v>
      </c>
      <c r="D33" s="204">
        <v>88456</v>
      </c>
      <c r="E33" s="2">
        <v>84242</v>
      </c>
      <c r="F33" s="204">
        <v>88456</v>
      </c>
      <c r="G33" s="2">
        <v>90036</v>
      </c>
      <c r="H33" s="58">
        <f t="shared" si="10"/>
        <v>1580</v>
      </c>
      <c r="I33" s="51">
        <f t="shared" si="11"/>
        <v>1.7861987880980375E-2</v>
      </c>
      <c r="J33" s="168"/>
      <c r="K33" s="58">
        <f t="shared" si="12"/>
        <v>5794</v>
      </c>
      <c r="L33" s="59">
        <f t="shared" si="13"/>
        <v>6.8778044205978009E-2</v>
      </c>
      <c r="M33" s="168"/>
    </row>
    <row r="34" spans="1:13" x14ac:dyDescent="0.2">
      <c r="A34" s="154" t="s">
        <v>335</v>
      </c>
      <c r="B34" s="163" t="s">
        <v>261</v>
      </c>
      <c r="C34" s="2">
        <v>471</v>
      </c>
      <c r="D34" s="204">
        <v>494</v>
      </c>
      <c r="E34" s="2">
        <v>471</v>
      </c>
      <c r="F34" s="204">
        <v>494</v>
      </c>
      <c r="G34" s="2">
        <v>505</v>
      </c>
      <c r="H34" s="58">
        <f t="shared" si="10"/>
        <v>11</v>
      </c>
      <c r="I34" s="51">
        <f t="shared" si="11"/>
        <v>2.2267206477732792E-2</v>
      </c>
      <c r="J34" s="168"/>
      <c r="K34" s="58">
        <f t="shared" si="12"/>
        <v>34</v>
      </c>
      <c r="L34" s="59">
        <f t="shared" si="13"/>
        <v>7.2186836518046707E-2</v>
      </c>
      <c r="M34" s="168"/>
    </row>
    <row r="35" spans="1:13" ht="37.5" x14ac:dyDescent="0.2">
      <c r="A35" s="154" t="s">
        <v>336</v>
      </c>
      <c r="B35" s="109" t="s">
        <v>487</v>
      </c>
      <c r="C35" s="2">
        <v>19010</v>
      </c>
      <c r="D35" s="204">
        <v>19961</v>
      </c>
      <c r="E35" s="2">
        <v>19010</v>
      </c>
      <c r="F35" s="204">
        <v>19961</v>
      </c>
      <c r="G35" s="2">
        <v>21718</v>
      </c>
      <c r="H35" s="58">
        <f t="shared" si="10"/>
        <v>1757</v>
      </c>
      <c r="I35" s="51">
        <f t="shared" si="11"/>
        <v>8.802164220229447E-2</v>
      </c>
      <c r="J35" s="168"/>
      <c r="K35" s="58">
        <f t="shared" si="12"/>
        <v>2708</v>
      </c>
      <c r="L35" s="59">
        <f t="shared" si="13"/>
        <v>0.14245134139926355</v>
      </c>
      <c r="M35" s="135" t="s">
        <v>787</v>
      </c>
    </row>
    <row r="36" spans="1:13" x14ac:dyDescent="0.2">
      <c r="A36" s="154" t="s">
        <v>337</v>
      </c>
      <c r="B36" s="163" t="s">
        <v>261</v>
      </c>
      <c r="C36" s="2">
        <v>0</v>
      </c>
      <c r="D36" s="204">
        <v>0</v>
      </c>
      <c r="E36" s="2">
        <v>0</v>
      </c>
      <c r="F36" s="204">
        <v>0</v>
      </c>
      <c r="G36" s="2">
        <v>0</v>
      </c>
      <c r="H36" s="58">
        <f t="shared" si="10"/>
        <v>0</v>
      </c>
      <c r="I36" s="51" t="str">
        <f t="shared" si="11"/>
        <v>-</v>
      </c>
      <c r="J36" s="134"/>
      <c r="K36" s="58">
        <f t="shared" si="12"/>
        <v>0</v>
      </c>
      <c r="L36" s="59" t="str">
        <f t="shared" si="13"/>
        <v>-</v>
      </c>
      <c r="M36" s="47"/>
    </row>
    <row r="37" spans="1:13" x14ac:dyDescent="0.2">
      <c r="A37" s="154" t="s">
        <v>339</v>
      </c>
      <c r="B37" s="156" t="s">
        <v>344</v>
      </c>
      <c r="C37" s="2"/>
      <c r="D37" s="204"/>
      <c r="E37" s="2"/>
      <c r="F37" s="204"/>
      <c r="G37" s="2"/>
      <c r="H37" s="58">
        <f t="shared" si="10"/>
        <v>0</v>
      </c>
      <c r="I37" s="51" t="str">
        <f t="shared" si="11"/>
        <v>-</v>
      </c>
      <c r="J37" s="134"/>
      <c r="K37" s="58">
        <f t="shared" si="12"/>
        <v>0</v>
      </c>
      <c r="L37" s="59" t="str">
        <f t="shared" si="13"/>
        <v>-</v>
      </c>
      <c r="M37" s="47"/>
    </row>
    <row r="38" spans="1:13" ht="37.5" x14ac:dyDescent="0.2">
      <c r="A38" s="154" t="s">
        <v>340</v>
      </c>
      <c r="B38" s="156" t="s">
        <v>528</v>
      </c>
      <c r="C38" s="2"/>
      <c r="D38" s="204"/>
      <c r="E38" s="2"/>
      <c r="F38" s="204"/>
      <c r="G38" s="2"/>
      <c r="H38" s="58">
        <f t="shared" si="10"/>
        <v>0</v>
      </c>
      <c r="I38" s="51" t="str">
        <f t="shared" si="11"/>
        <v>-</v>
      </c>
      <c r="J38" s="134"/>
      <c r="K38" s="58">
        <f t="shared" si="12"/>
        <v>0</v>
      </c>
      <c r="L38" s="59" t="str">
        <f t="shared" si="13"/>
        <v>-</v>
      </c>
      <c r="M38" s="47"/>
    </row>
    <row r="39" spans="1:13" x14ac:dyDescent="0.2">
      <c r="A39" s="154" t="s">
        <v>338</v>
      </c>
      <c r="B39" s="14" t="s">
        <v>653</v>
      </c>
      <c r="C39" s="2">
        <v>2793</v>
      </c>
      <c r="D39" s="204">
        <v>2933</v>
      </c>
      <c r="E39" s="2">
        <v>2793</v>
      </c>
      <c r="F39" s="204">
        <v>2933</v>
      </c>
      <c r="G39" s="2">
        <v>2848</v>
      </c>
      <c r="H39" s="58">
        <f t="shared" si="10"/>
        <v>-85</v>
      </c>
      <c r="I39" s="51">
        <f t="shared" si="11"/>
        <v>-2.8980565973406067E-2</v>
      </c>
      <c r="J39" s="168"/>
      <c r="K39" s="58">
        <f t="shared" si="12"/>
        <v>55</v>
      </c>
      <c r="L39" s="59">
        <f t="shared" si="13"/>
        <v>1.9692087361260293E-2</v>
      </c>
      <c r="M39" s="139"/>
    </row>
    <row r="40" spans="1:13" ht="75" x14ac:dyDescent="0.2">
      <c r="A40" s="164" t="s">
        <v>355</v>
      </c>
      <c r="B40" s="165" t="s">
        <v>357</v>
      </c>
      <c r="C40" s="2">
        <v>366</v>
      </c>
      <c r="D40" s="204">
        <v>386</v>
      </c>
      <c r="E40" s="2">
        <v>366</v>
      </c>
      <c r="F40" s="204">
        <v>386</v>
      </c>
      <c r="G40" s="2">
        <v>437</v>
      </c>
      <c r="H40" s="58">
        <f t="shared" si="10"/>
        <v>51</v>
      </c>
      <c r="I40" s="166">
        <f t="shared" si="11"/>
        <v>0.13212435233160622</v>
      </c>
      <c r="J40" s="135" t="s">
        <v>760</v>
      </c>
      <c r="K40" s="58">
        <f t="shared" si="12"/>
        <v>71</v>
      </c>
      <c r="L40" s="59">
        <f t="shared" si="13"/>
        <v>0.19398907103825136</v>
      </c>
      <c r="M40" s="135" t="s">
        <v>738</v>
      </c>
    </row>
    <row r="41" spans="1:13" ht="122.25" customHeight="1" x14ac:dyDescent="0.2">
      <c r="A41" s="15" t="s">
        <v>259</v>
      </c>
      <c r="B41" s="26" t="s">
        <v>488</v>
      </c>
      <c r="C41" s="17" t="s">
        <v>215</v>
      </c>
      <c r="D41" s="17"/>
      <c r="E41" s="17" t="s">
        <v>215</v>
      </c>
      <c r="F41" s="17"/>
      <c r="G41" s="17"/>
      <c r="H41" s="17" t="s">
        <v>215</v>
      </c>
      <c r="I41" s="18" t="s">
        <v>215</v>
      </c>
      <c r="J41" s="18" t="s">
        <v>215</v>
      </c>
      <c r="K41" s="18" t="s">
        <v>215</v>
      </c>
      <c r="L41" s="18" t="s">
        <v>215</v>
      </c>
      <c r="M41" s="18" t="s">
        <v>215</v>
      </c>
    </row>
    <row r="42" spans="1:13" x14ac:dyDescent="0.2">
      <c r="A42" s="24" t="s">
        <v>258</v>
      </c>
      <c r="B42" s="27" t="s">
        <v>251</v>
      </c>
      <c r="C42" s="6"/>
      <c r="D42" s="204"/>
      <c r="E42" s="6"/>
      <c r="F42" s="204"/>
      <c r="G42" s="6"/>
      <c r="H42" s="58">
        <f t="shared" ref="H42:H46" si="14">G42-F42</f>
        <v>0</v>
      </c>
      <c r="I42" s="51" t="str">
        <f t="shared" ref="I42:I46" si="15">IFERROR(H42/ABS(F42), "-")</f>
        <v>-</v>
      </c>
      <c r="J42" s="54"/>
      <c r="K42" s="58">
        <f t="shared" ref="K42:K46" si="16">G42-E42</f>
        <v>0</v>
      </c>
      <c r="L42" s="59" t="str">
        <f t="shared" ref="L42:L46" si="17">IFERROR(K42/ABS(E42), "-")</f>
        <v>-</v>
      </c>
      <c r="M42" s="47"/>
    </row>
    <row r="43" spans="1:13" x14ac:dyDescent="0.2">
      <c r="A43" s="24" t="s">
        <v>257</v>
      </c>
      <c r="B43" s="27" t="s">
        <v>505</v>
      </c>
      <c r="C43" s="6"/>
      <c r="D43" s="352"/>
      <c r="E43" s="6"/>
      <c r="F43" s="352"/>
      <c r="G43" s="6"/>
      <c r="H43" s="58">
        <f t="shared" si="14"/>
        <v>0</v>
      </c>
      <c r="I43" s="51" t="str">
        <f t="shared" si="15"/>
        <v>-</v>
      </c>
      <c r="J43" s="54"/>
      <c r="K43" s="58">
        <f t="shared" si="16"/>
        <v>0</v>
      </c>
      <c r="L43" s="59" t="str">
        <f t="shared" si="17"/>
        <v>-</v>
      </c>
      <c r="M43" s="47"/>
    </row>
    <row r="44" spans="1:13" x14ac:dyDescent="0.2">
      <c r="A44" s="24" t="s">
        <v>256</v>
      </c>
      <c r="B44" s="27" t="s">
        <v>506</v>
      </c>
      <c r="C44" s="6"/>
      <c r="D44" s="352"/>
      <c r="E44" s="6"/>
      <c r="F44" s="352"/>
      <c r="G44" s="6"/>
      <c r="H44" s="58">
        <f t="shared" si="14"/>
        <v>0</v>
      </c>
      <c r="I44" s="51" t="str">
        <f t="shared" si="15"/>
        <v>-</v>
      </c>
      <c r="J44" s="54"/>
      <c r="K44" s="58">
        <f t="shared" si="16"/>
        <v>0</v>
      </c>
      <c r="L44" s="59" t="str">
        <f t="shared" si="17"/>
        <v>-</v>
      </c>
      <c r="M44" s="47"/>
    </row>
    <row r="45" spans="1:13" x14ac:dyDescent="0.2">
      <c r="A45" s="24" t="s">
        <v>255</v>
      </c>
      <c r="B45" s="27" t="s">
        <v>247</v>
      </c>
      <c r="C45" s="6"/>
      <c r="D45" s="204"/>
      <c r="E45" s="6"/>
      <c r="F45" s="204"/>
      <c r="G45" s="6"/>
      <c r="H45" s="58">
        <f t="shared" si="14"/>
        <v>0</v>
      </c>
      <c r="I45" s="51" t="str">
        <f t="shared" si="15"/>
        <v>-</v>
      </c>
      <c r="J45" s="54"/>
      <c r="K45" s="58">
        <f t="shared" si="16"/>
        <v>0</v>
      </c>
      <c r="L45" s="59" t="str">
        <f t="shared" si="17"/>
        <v>-</v>
      </c>
      <c r="M45" s="47"/>
    </row>
    <row r="46" spans="1:13" x14ac:dyDescent="0.2">
      <c r="A46" s="24" t="s">
        <v>254</v>
      </c>
      <c r="B46" s="27" t="s">
        <v>507</v>
      </c>
      <c r="C46" s="6"/>
      <c r="D46" s="204"/>
      <c r="E46" s="6"/>
      <c r="F46" s="204"/>
      <c r="G46" s="6"/>
      <c r="H46" s="58">
        <f t="shared" si="14"/>
        <v>0</v>
      </c>
      <c r="I46" s="51" t="str">
        <f t="shared" si="15"/>
        <v>-</v>
      </c>
      <c r="J46" s="54"/>
      <c r="K46" s="58">
        <f t="shared" si="16"/>
        <v>0</v>
      </c>
      <c r="L46" s="59" t="str">
        <f t="shared" si="17"/>
        <v>-</v>
      </c>
      <c r="M46" s="47"/>
    </row>
    <row r="47" spans="1:13" ht="19.5" x14ac:dyDescent="0.2">
      <c r="A47" s="15" t="s">
        <v>253</v>
      </c>
      <c r="B47" s="26" t="s">
        <v>489</v>
      </c>
      <c r="C47" s="17" t="s">
        <v>215</v>
      </c>
      <c r="D47" s="17"/>
      <c r="E47" s="17" t="s">
        <v>215</v>
      </c>
      <c r="F47" s="17"/>
      <c r="G47" s="17"/>
      <c r="H47" s="17" t="s">
        <v>215</v>
      </c>
      <c r="I47" s="18" t="s">
        <v>215</v>
      </c>
      <c r="J47" s="18" t="s">
        <v>215</v>
      </c>
      <c r="K47" s="18" t="s">
        <v>215</v>
      </c>
      <c r="L47" s="18" t="s">
        <v>215</v>
      </c>
      <c r="M47" s="18" t="s">
        <v>215</v>
      </c>
    </row>
    <row r="48" spans="1:13" x14ac:dyDescent="0.2">
      <c r="A48" s="24" t="s">
        <v>252</v>
      </c>
      <c r="B48" s="27" t="s">
        <v>251</v>
      </c>
      <c r="C48" s="6"/>
      <c r="D48" s="204"/>
      <c r="E48" s="6"/>
      <c r="F48" s="204"/>
      <c r="G48" s="6"/>
      <c r="H48" s="58">
        <f t="shared" ref="H48:H52" si="18">G48-F48</f>
        <v>0</v>
      </c>
      <c r="I48" s="51" t="str">
        <f t="shared" ref="I48:I52" si="19">IFERROR(H48/ABS(F48), "-")</f>
        <v>-</v>
      </c>
      <c r="J48" s="54"/>
      <c r="K48" s="58">
        <f t="shared" ref="K48:K52" si="20">G48-E48</f>
        <v>0</v>
      </c>
      <c r="L48" s="59" t="str">
        <f t="shared" ref="L48:L52" si="21">IFERROR(K48/ABS(E48), "-")</f>
        <v>-</v>
      </c>
      <c r="M48" s="47"/>
    </row>
    <row r="49" spans="1:13" x14ac:dyDescent="0.2">
      <c r="A49" s="24" t="s">
        <v>250</v>
      </c>
      <c r="B49" s="27" t="s">
        <v>505</v>
      </c>
      <c r="C49" s="6"/>
      <c r="D49" s="352"/>
      <c r="E49" s="6"/>
      <c r="F49" s="352"/>
      <c r="G49" s="6"/>
      <c r="H49" s="58">
        <f t="shared" si="18"/>
        <v>0</v>
      </c>
      <c r="I49" s="51" t="str">
        <f t="shared" si="19"/>
        <v>-</v>
      </c>
      <c r="J49" s="54"/>
      <c r="K49" s="58">
        <f t="shared" si="20"/>
        <v>0</v>
      </c>
      <c r="L49" s="59" t="str">
        <f t="shared" si="21"/>
        <v>-</v>
      </c>
      <c r="M49" s="47"/>
    </row>
    <row r="50" spans="1:13" x14ac:dyDescent="0.2">
      <c r="A50" s="24" t="s">
        <v>249</v>
      </c>
      <c r="B50" s="27" t="s">
        <v>506</v>
      </c>
      <c r="C50" s="6"/>
      <c r="D50" s="352"/>
      <c r="E50" s="6"/>
      <c r="F50" s="352"/>
      <c r="G50" s="6"/>
      <c r="H50" s="58">
        <f t="shared" si="18"/>
        <v>0</v>
      </c>
      <c r="I50" s="51" t="str">
        <f t="shared" si="19"/>
        <v>-</v>
      </c>
      <c r="J50" s="54"/>
      <c r="K50" s="58">
        <f t="shared" si="20"/>
        <v>0</v>
      </c>
      <c r="L50" s="59" t="str">
        <f t="shared" si="21"/>
        <v>-</v>
      </c>
      <c r="M50" s="47"/>
    </row>
    <row r="51" spans="1:13" x14ac:dyDescent="0.2">
      <c r="A51" s="24" t="s">
        <v>248</v>
      </c>
      <c r="B51" s="27" t="s">
        <v>247</v>
      </c>
      <c r="C51" s="6"/>
      <c r="D51" s="204"/>
      <c r="E51" s="6"/>
      <c r="F51" s="204"/>
      <c r="G51" s="6"/>
      <c r="H51" s="58">
        <f t="shared" si="18"/>
        <v>0</v>
      </c>
      <c r="I51" s="51" t="str">
        <f t="shared" si="19"/>
        <v>-</v>
      </c>
      <c r="J51" s="54"/>
      <c r="K51" s="58">
        <f t="shared" si="20"/>
        <v>0</v>
      </c>
      <c r="L51" s="59" t="str">
        <f t="shared" si="21"/>
        <v>-</v>
      </c>
      <c r="M51" s="47"/>
    </row>
    <row r="52" spans="1:13" x14ac:dyDescent="0.2">
      <c r="A52" s="24" t="s">
        <v>246</v>
      </c>
      <c r="B52" s="27" t="s">
        <v>507</v>
      </c>
      <c r="C52" s="6"/>
      <c r="D52" s="204"/>
      <c r="E52" s="6"/>
      <c r="F52" s="204"/>
      <c r="G52" s="6"/>
      <c r="H52" s="58">
        <f t="shared" si="18"/>
        <v>0</v>
      </c>
      <c r="I52" s="51" t="str">
        <f t="shared" si="19"/>
        <v>-</v>
      </c>
      <c r="J52" s="54"/>
      <c r="K52" s="58">
        <f t="shared" si="20"/>
        <v>0</v>
      </c>
      <c r="L52" s="59" t="str">
        <f t="shared" si="21"/>
        <v>-</v>
      </c>
      <c r="M52" s="47"/>
    </row>
    <row r="53" spans="1:13" ht="72.75" customHeight="1" x14ac:dyDescent="0.2">
      <c r="A53" s="15" t="s">
        <v>245</v>
      </c>
      <c r="B53" s="172" t="s">
        <v>490</v>
      </c>
      <c r="C53" s="17" t="s">
        <v>215</v>
      </c>
      <c r="D53" s="17" t="s">
        <v>215</v>
      </c>
      <c r="E53" s="17" t="s">
        <v>215</v>
      </c>
      <c r="F53" s="17" t="s">
        <v>215</v>
      </c>
      <c r="G53" s="17"/>
      <c r="H53" s="17" t="s">
        <v>215</v>
      </c>
      <c r="I53" s="18" t="s">
        <v>215</v>
      </c>
      <c r="J53" s="18" t="s">
        <v>215</v>
      </c>
      <c r="K53" s="18" t="s">
        <v>215</v>
      </c>
      <c r="L53" s="18" t="s">
        <v>215</v>
      </c>
      <c r="M53" s="18" t="s">
        <v>215</v>
      </c>
    </row>
    <row r="54" spans="1:13" ht="19.5" x14ac:dyDescent="0.2">
      <c r="A54" s="28" t="s">
        <v>244</v>
      </c>
      <c r="B54" s="29" t="s">
        <v>243</v>
      </c>
      <c r="C54" s="73">
        <v>577</v>
      </c>
      <c r="D54" s="353">
        <v>585</v>
      </c>
      <c r="E54" s="73">
        <v>577</v>
      </c>
      <c r="F54" s="353">
        <v>585</v>
      </c>
      <c r="G54" s="73">
        <v>605</v>
      </c>
      <c r="H54" s="74">
        <f t="shared" ref="H54:H77" si="22">G54-F54</f>
        <v>20</v>
      </c>
      <c r="I54" s="173">
        <f t="shared" ref="I54:I77" si="23">IFERROR(H54/ABS(F54), "-")</f>
        <v>3.4188034188034191E-2</v>
      </c>
      <c r="J54" s="133"/>
      <c r="K54" s="45">
        <f t="shared" ref="K54:K77" si="24">G54-E54</f>
        <v>28</v>
      </c>
      <c r="L54" s="174">
        <f t="shared" ref="L54:L77" si="25">IFERROR(K54/ABS(E54), "-")</f>
        <v>4.852686308492201E-2</v>
      </c>
      <c r="M54" s="50"/>
    </row>
    <row r="55" spans="1:13" ht="22.5" x14ac:dyDescent="0.2">
      <c r="A55" s="154" t="s">
        <v>242</v>
      </c>
      <c r="B55" s="175" t="s">
        <v>508</v>
      </c>
      <c r="C55" s="2">
        <v>111</v>
      </c>
      <c r="D55" s="354">
        <v>112</v>
      </c>
      <c r="E55" s="2">
        <v>111</v>
      </c>
      <c r="F55" s="354">
        <v>112</v>
      </c>
      <c r="G55" s="3">
        <v>119</v>
      </c>
      <c r="H55" s="60">
        <f t="shared" si="22"/>
        <v>7</v>
      </c>
      <c r="I55" s="51">
        <f t="shared" si="23"/>
        <v>6.25E-2</v>
      </c>
      <c r="J55" s="134"/>
      <c r="K55" s="60">
        <f t="shared" si="24"/>
        <v>8</v>
      </c>
      <c r="L55" s="59">
        <f t="shared" si="25"/>
        <v>7.2072072072072071E-2</v>
      </c>
      <c r="M55" s="275"/>
    </row>
    <row r="56" spans="1:13" ht="22.5" x14ac:dyDescent="0.2">
      <c r="A56" s="154" t="s">
        <v>241</v>
      </c>
      <c r="B56" s="175" t="s">
        <v>509</v>
      </c>
      <c r="C56" s="6">
        <v>195</v>
      </c>
      <c r="D56" s="355">
        <v>197</v>
      </c>
      <c r="E56" s="6">
        <v>195</v>
      </c>
      <c r="F56" s="355">
        <v>197</v>
      </c>
      <c r="G56" s="77">
        <v>199</v>
      </c>
      <c r="H56" s="58">
        <f t="shared" si="22"/>
        <v>2</v>
      </c>
      <c r="I56" s="51">
        <f t="shared" si="23"/>
        <v>1.015228426395939E-2</v>
      </c>
      <c r="J56" s="134"/>
      <c r="K56" s="58">
        <f t="shared" si="24"/>
        <v>4</v>
      </c>
      <c r="L56" s="59">
        <f t="shared" si="25"/>
        <v>2.0512820512820513E-2</v>
      </c>
      <c r="M56" s="49"/>
    </row>
    <row r="57" spans="1:13" ht="41.25" x14ac:dyDescent="0.2">
      <c r="A57" s="154" t="s">
        <v>240</v>
      </c>
      <c r="B57" s="176" t="s">
        <v>510</v>
      </c>
      <c r="C57" s="6">
        <v>45</v>
      </c>
      <c r="D57" s="355">
        <v>46</v>
      </c>
      <c r="E57" s="6">
        <v>45</v>
      </c>
      <c r="F57" s="355">
        <v>46</v>
      </c>
      <c r="G57" s="77">
        <v>46</v>
      </c>
      <c r="H57" s="58">
        <f t="shared" si="22"/>
        <v>0</v>
      </c>
      <c r="I57" s="51">
        <f t="shared" si="23"/>
        <v>0</v>
      </c>
      <c r="J57" s="134"/>
      <c r="K57" s="58">
        <f t="shared" si="24"/>
        <v>1</v>
      </c>
      <c r="L57" s="59">
        <f t="shared" si="25"/>
        <v>2.2222222222222223E-2</v>
      </c>
      <c r="M57" s="139"/>
    </row>
    <row r="58" spans="1:13" ht="22.5" x14ac:dyDescent="0.2">
      <c r="A58" s="154" t="s">
        <v>239</v>
      </c>
      <c r="B58" s="176" t="s">
        <v>511</v>
      </c>
      <c r="C58" s="6">
        <v>35</v>
      </c>
      <c r="D58" s="355">
        <v>36</v>
      </c>
      <c r="E58" s="6">
        <v>35</v>
      </c>
      <c r="F58" s="355">
        <v>36</v>
      </c>
      <c r="G58" s="77">
        <v>37</v>
      </c>
      <c r="H58" s="58">
        <f t="shared" si="22"/>
        <v>1</v>
      </c>
      <c r="I58" s="51">
        <f t="shared" si="23"/>
        <v>2.7777777777777776E-2</v>
      </c>
      <c r="J58" s="178"/>
      <c r="K58" s="58">
        <f t="shared" si="24"/>
        <v>2</v>
      </c>
      <c r="L58" s="59">
        <f t="shared" si="25"/>
        <v>5.7142857142857141E-2</v>
      </c>
      <c r="M58" s="178"/>
    </row>
    <row r="59" spans="1:13" ht="22.5" x14ac:dyDescent="0.2">
      <c r="A59" s="154" t="s">
        <v>238</v>
      </c>
      <c r="B59" s="176" t="s">
        <v>512</v>
      </c>
      <c r="C59" s="6">
        <v>191</v>
      </c>
      <c r="D59" s="355">
        <v>194</v>
      </c>
      <c r="E59" s="6">
        <v>191</v>
      </c>
      <c r="F59" s="355">
        <v>194</v>
      </c>
      <c r="G59" s="77">
        <v>204</v>
      </c>
      <c r="H59" s="58">
        <f t="shared" si="22"/>
        <v>10</v>
      </c>
      <c r="I59" s="51">
        <f t="shared" si="23"/>
        <v>5.1546391752577317E-2</v>
      </c>
      <c r="J59" s="134"/>
      <c r="K59" s="58">
        <f t="shared" si="24"/>
        <v>13</v>
      </c>
      <c r="L59" s="59">
        <f t="shared" si="25"/>
        <v>6.8062827225130892E-2</v>
      </c>
      <c r="M59" s="47"/>
    </row>
    <row r="60" spans="1:13" ht="37.5" x14ac:dyDescent="0.2">
      <c r="A60" s="28" t="s">
        <v>237</v>
      </c>
      <c r="B60" s="177" t="s">
        <v>236</v>
      </c>
      <c r="C60" s="73">
        <v>1715.43</v>
      </c>
      <c r="D60" s="353">
        <v>1708</v>
      </c>
      <c r="E60" s="73">
        <v>1715.43</v>
      </c>
      <c r="F60" s="353">
        <v>1708</v>
      </c>
      <c r="G60" s="73">
        <v>1618</v>
      </c>
      <c r="H60" s="74">
        <f>G60-F60</f>
        <v>-90</v>
      </c>
      <c r="I60" s="173">
        <f t="shared" si="23"/>
        <v>-5.2693208430913352E-2</v>
      </c>
      <c r="J60" s="133"/>
      <c r="K60" s="45">
        <f t="shared" si="24"/>
        <v>-97.430000000000064</v>
      </c>
      <c r="L60" s="174">
        <f>IFERROR(K60/ABS(E60), "-")</f>
        <v>-5.6796255166343165E-2</v>
      </c>
      <c r="M60" s="50"/>
    </row>
    <row r="61" spans="1:13" ht="22.5" x14ac:dyDescent="0.2">
      <c r="A61" s="154" t="s">
        <v>235</v>
      </c>
      <c r="B61" s="175" t="s">
        <v>508</v>
      </c>
      <c r="C61" s="2">
        <v>2732.31</v>
      </c>
      <c r="D61" s="355">
        <v>2711</v>
      </c>
      <c r="E61" s="2">
        <v>2732.31</v>
      </c>
      <c r="F61" s="355">
        <v>2711</v>
      </c>
      <c r="G61" s="2">
        <v>2674.99</v>
      </c>
      <c r="H61" s="58">
        <f t="shared" si="22"/>
        <v>-36.010000000000218</v>
      </c>
      <c r="I61" s="51">
        <f t="shared" si="23"/>
        <v>-1.3282921431206277E-2</v>
      </c>
      <c r="J61" s="178"/>
      <c r="K61" s="58">
        <f t="shared" si="24"/>
        <v>-57.320000000000164</v>
      </c>
      <c r="L61" s="59">
        <f t="shared" si="25"/>
        <v>-2.0978585885203422E-2</v>
      </c>
      <c r="M61" s="218"/>
    </row>
    <row r="62" spans="1:13" ht="22.5" x14ac:dyDescent="0.2">
      <c r="A62" s="154" t="s">
        <v>234</v>
      </c>
      <c r="B62" s="175" t="s">
        <v>509</v>
      </c>
      <c r="C62" s="2">
        <v>1683.69</v>
      </c>
      <c r="D62" s="355">
        <v>1621</v>
      </c>
      <c r="E62" s="2">
        <v>1683.69</v>
      </c>
      <c r="F62" s="355">
        <v>1621</v>
      </c>
      <c r="G62" s="2">
        <v>1658.96</v>
      </c>
      <c r="H62" s="58">
        <f t="shared" si="22"/>
        <v>37.960000000000036</v>
      </c>
      <c r="I62" s="51">
        <f t="shared" si="23"/>
        <v>2.3417643429981514E-2</v>
      </c>
      <c r="J62" s="178"/>
      <c r="K62" s="58">
        <f t="shared" si="24"/>
        <v>-24.730000000000018</v>
      </c>
      <c r="L62" s="59">
        <f t="shared" si="25"/>
        <v>-1.4687977002892467E-2</v>
      </c>
      <c r="M62" s="139"/>
    </row>
    <row r="63" spans="1:13" ht="41.25" x14ac:dyDescent="0.2">
      <c r="A63" s="154" t="s">
        <v>233</v>
      </c>
      <c r="B63" s="176" t="s">
        <v>510</v>
      </c>
      <c r="C63" s="2">
        <v>1020.0549999999999</v>
      </c>
      <c r="D63" s="355">
        <v>971</v>
      </c>
      <c r="E63" s="2">
        <v>1020.0549999999999</v>
      </c>
      <c r="F63" s="355">
        <v>971</v>
      </c>
      <c r="G63" s="2">
        <v>963.65</v>
      </c>
      <c r="H63" s="58">
        <f t="shared" si="22"/>
        <v>-7.3500000000000227</v>
      </c>
      <c r="I63" s="51">
        <f>IFERROR(H63/ABS(F63), "-")</f>
        <v>-7.5695159629248429E-3</v>
      </c>
      <c r="J63" s="168"/>
      <c r="K63" s="58">
        <f t="shared" si="24"/>
        <v>-56.404999999999973</v>
      </c>
      <c r="L63" s="59">
        <f>IFERROR(K63/ABS(E63), "-")</f>
        <v>-5.5296037958737498E-2</v>
      </c>
      <c r="M63" s="139"/>
    </row>
    <row r="64" spans="1:13" ht="22.5" x14ac:dyDescent="0.2">
      <c r="A64" s="154" t="s">
        <v>232</v>
      </c>
      <c r="B64" s="176" t="s">
        <v>511</v>
      </c>
      <c r="C64" s="2">
        <v>2223.71</v>
      </c>
      <c r="D64" s="355">
        <v>2224</v>
      </c>
      <c r="E64" s="2">
        <v>2223.71</v>
      </c>
      <c r="F64" s="355">
        <v>2224</v>
      </c>
      <c r="G64" s="2">
        <v>2086.4499999999998</v>
      </c>
      <c r="H64" s="58">
        <f>G64-F64</f>
        <v>-137.55000000000018</v>
      </c>
      <c r="I64" s="51">
        <f t="shared" si="23"/>
        <v>-6.1848021582733892E-2</v>
      </c>
      <c r="J64" s="139"/>
      <c r="K64" s="58">
        <f t="shared" si="24"/>
        <v>-137.26000000000022</v>
      </c>
      <c r="L64" s="59">
        <f t="shared" si="25"/>
        <v>-6.1725674660814682E-2</v>
      </c>
      <c r="M64" s="139"/>
    </row>
    <row r="65" spans="1:13" ht="22.5" x14ac:dyDescent="0.2">
      <c r="A65" s="154" t="s">
        <v>231</v>
      </c>
      <c r="B65" s="176" t="s">
        <v>512</v>
      </c>
      <c r="C65" s="2">
        <v>1047.94</v>
      </c>
      <c r="D65" s="355">
        <v>1012</v>
      </c>
      <c r="E65" s="2">
        <v>1047.94</v>
      </c>
      <c r="F65" s="355">
        <v>1012</v>
      </c>
      <c r="G65" s="2">
        <v>1014.55</v>
      </c>
      <c r="H65" s="58">
        <f t="shared" si="22"/>
        <v>2.5499999999999545</v>
      </c>
      <c r="I65" s="51">
        <f t="shared" si="23"/>
        <v>2.5197628458497575E-3</v>
      </c>
      <c r="J65" s="218"/>
      <c r="K65" s="58">
        <f t="shared" si="24"/>
        <v>-33.3900000000001</v>
      </c>
      <c r="L65" s="59">
        <f t="shared" si="25"/>
        <v>-3.186251121247409E-2</v>
      </c>
      <c r="M65" s="139"/>
    </row>
    <row r="66" spans="1:13" ht="19.5" x14ac:dyDescent="0.2">
      <c r="A66" s="28" t="s">
        <v>230</v>
      </c>
      <c r="B66" s="29" t="s">
        <v>229</v>
      </c>
      <c r="C66" s="73">
        <v>577</v>
      </c>
      <c r="D66" s="353">
        <v>585</v>
      </c>
      <c r="E66" s="73">
        <v>577</v>
      </c>
      <c r="F66" s="353">
        <v>585</v>
      </c>
      <c r="G66" s="73">
        <v>589</v>
      </c>
      <c r="H66" s="74">
        <f t="shared" si="22"/>
        <v>4</v>
      </c>
      <c r="I66" s="173">
        <f t="shared" si="23"/>
        <v>6.8376068376068376E-3</v>
      </c>
      <c r="J66" s="133"/>
      <c r="K66" s="45">
        <f t="shared" si="24"/>
        <v>12</v>
      </c>
      <c r="L66" s="174">
        <f t="shared" si="25"/>
        <v>2.0797227036395149E-2</v>
      </c>
      <c r="M66" s="50"/>
    </row>
    <row r="67" spans="1:13" ht="22.5" x14ac:dyDescent="0.2">
      <c r="A67" s="154" t="s">
        <v>228</v>
      </c>
      <c r="B67" s="175" t="s">
        <v>508</v>
      </c>
      <c r="C67" s="2">
        <v>115</v>
      </c>
      <c r="D67" s="354">
        <v>117</v>
      </c>
      <c r="E67" s="2">
        <v>115</v>
      </c>
      <c r="F67" s="354">
        <v>117</v>
      </c>
      <c r="G67" s="3">
        <v>115</v>
      </c>
      <c r="H67" s="60">
        <f t="shared" si="22"/>
        <v>-2</v>
      </c>
      <c r="I67" s="51">
        <f t="shared" si="23"/>
        <v>-1.7094017094017096E-2</v>
      </c>
      <c r="J67" s="134"/>
      <c r="K67" s="60">
        <f t="shared" si="24"/>
        <v>0</v>
      </c>
      <c r="L67" s="59">
        <f t="shared" si="25"/>
        <v>0</v>
      </c>
      <c r="M67" s="48"/>
    </row>
    <row r="68" spans="1:13" ht="22.5" x14ac:dyDescent="0.2">
      <c r="A68" s="154" t="s">
        <v>227</v>
      </c>
      <c r="B68" s="175" t="s">
        <v>509</v>
      </c>
      <c r="C68" s="6">
        <v>187</v>
      </c>
      <c r="D68" s="355">
        <v>190</v>
      </c>
      <c r="E68" s="6">
        <v>187</v>
      </c>
      <c r="F68" s="355">
        <v>190</v>
      </c>
      <c r="G68" s="77">
        <v>184</v>
      </c>
      <c r="H68" s="58">
        <f t="shared" si="22"/>
        <v>-6</v>
      </c>
      <c r="I68" s="51">
        <f t="shared" si="23"/>
        <v>-3.1578947368421054E-2</v>
      </c>
      <c r="J68" s="134"/>
      <c r="K68" s="58">
        <f t="shared" si="24"/>
        <v>-3</v>
      </c>
      <c r="L68" s="59">
        <f t="shared" si="25"/>
        <v>-1.6042780748663103E-2</v>
      </c>
      <c r="M68" s="218"/>
    </row>
    <row r="69" spans="1:13" ht="41.25" x14ac:dyDescent="0.2">
      <c r="A69" s="154" t="s">
        <v>226</v>
      </c>
      <c r="B69" s="176" t="s">
        <v>510</v>
      </c>
      <c r="C69" s="6">
        <v>45</v>
      </c>
      <c r="D69" s="355">
        <v>46</v>
      </c>
      <c r="E69" s="6">
        <v>45</v>
      </c>
      <c r="F69" s="355">
        <v>46</v>
      </c>
      <c r="G69" s="77">
        <v>44</v>
      </c>
      <c r="H69" s="58">
        <f t="shared" si="22"/>
        <v>-2</v>
      </c>
      <c r="I69" s="51">
        <f t="shared" si="23"/>
        <v>-4.3478260869565216E-2</v>
      </c>
      <c r="J69" s="178"/>
      <c r="K69" s="58">
        <f t="shared" si="24"/>
        <v>-1</v>
      </c>
      <c r="L69" s="59">
        <f t="shared" si="25"/>
        <v>-2.2222222222222223E-2</v>
      </c>
      <c r="M69" s="178"/>
    </row>
    <row r="70" spans="1:13" ht="22.5" x14ac:dyDescent="0.2">
      <c r="A70" s="154" t="s">
        <v>225</v>
      </c>
      <c r="B70" s="176" t="s">
        <v>511</v>
      </c>
      <c r="C70" s="6">
        <v>36</v>
      </c>
      <c r="D70" s="355">
        <v>36</v>
      </c>
      <c r="E70" s="6">
        <v>36</v>
      </c>
      <c r="F70" s="355">
        <v>36</v>
      </c>
      <c r="G70" s="77">
        <v>35</v>
      </c>
      <c r="H70" s="58">
        <f t="shared" si="22"/>
        <v>-1</v>
      </c>
      <c r="I70" s="51">
        <f t="shared" si="23"/>
        <v>-2.7777777777777776E-2</v>
      </c>
      <c r="J70" s="178"/>
      <c r="K70" s="58">
        <f t="shared" si="24"/>
        <v>-1</v>
      </c>
      <c r="L70" s="59">
        <f t="shared" si="25"/>
        <v>-2.7777777777777776E-2</v>
      </c>
      <c r="M70" s="178"/>
    </row>
    <row r="71" spans="1:13" ht="22.5" x14ac:dyDescent="0.2">
      <c r="A71" s="154" t="s">
        <v>224</v>
      </c>
      <c r="B71" s="176" t="s">
        <v>512</v>
      </c>
      <c r="C71" s="6">
        <v>194</v>
      </c>
      <c r="D71" s="355">
        <v>196</v>
      </c>
      <c r="E71" s="6">
        <v>194</v>
      </c>
      <c r="F71" s="355">
        <v>196</v>
      </c>
      <c r="G71" s="77">
        <v>210</v>
      </c>
      <c r="H71" s="58">
        <f t="shared" si="22"/>
        <v>14</v>
      </c>
      <c r="I71" s="51">
        <f>IFERROR(H71/ABS(F71), "-")</f>
        <v>7.1428571428571425E-2</v>
      </c>
      <c r="J71" s="134"/>
      <c r="K71" s="58">
        <f t="shared" si="24"/>
        <v>16</v>
      </c>
      <c r="L71" s="59">
        <f t="shared" si="25"/>
        <v>8.247422680412371E-2</v>
      </c>
      <c r="M71" s="47"/>
    </row>
    <row r="72" spans="1:13" ht="19.5" x14ac:dyDescent="0.2">
      <c r="A72" s="28" t="s">
        <v>223</v>
      </c>
      <c r="B72" s="29" t="s">
        <v>513</v>
      </c>
      <c r="C72" s="73">
        <v>1715.43</v>
      </c>
      <c r="D72" s="353">
        <v>1701</v>
      </c>
      <c r="E72" s="73">
        <v>1715.43</v>
      </c>
      <c r="F72" s="353">
        <v>1701</v>
      </c>
      <c r="G72" s="73">
        <v>1658.66</v>
      </c>
      <c r="H72" s="74">
        <f t="shared" si="22"/>
        <v>-42.339999999999918</v>
      </c>
      <c r="I72" s="173">
        <f t="shared" si="23"/>
        <v>-2.4891240446795953E-2</v>
      </c>
      <c r="J72" s="133"/>
      <c r="K72" s="45">
        <f t="shared" si="24"/>
        <v>-56.769999999999982</v>
      </c>
      <c r="L72" s="174">
        <f t="shared" si="25"/>
        <v>-3.3093743259707466E-2</v>
      </c>
      <c r="M72" s="50"/>
    </row>
    <row r="73" spans="1:13" ht="22.5" x14ac:dyDescent="0.2">
      <c r="A73" s="154" t="s">
        <v>222</v>
      </c>
      <c r="B73" s="175" t="s">
        <v>508</v>
      </c>
      <c r="C73" s="2">
        <v>2637.27</v>
      </c>
      <c r="D73" s="354">
        <v>2693</v>
      </c>
      <c r="E73" s="2">
        <v>2637.27</v>
      </c>
      <c r="F73" s="354">
        <v>2693</v>
      </c>
      <c r="G73" s="2">
        <v>2868.03</v>
      </c>
      <c r="H73" s="60">
        <f t="shared" si="22"/>
        <v>175.0300000000002</v>
      </c>
      <c r="I73" s="51">
        <f t="shared" si="23"/>
        <v>6.499443000371341E-2</v>
      </c>
      <c r="J73" s="139"/>
      <c r="K73" s="60">
        <f t="shared" si="24"/>
        <v>230.76000000000022</v>
      </c>
      <c r="L73" s="59">
        <f t="shared" si="25"/>
        <v>8.7499573422516547E-2</v>
      </c>
      <c r="M73" s="139"/>
    </row>
    <row r="74" spans="1:13" ht="22.5" x14ac:dyDescent="0.2">
      <c r="A74" s="154" t="s">
        <v>221</v>
      </c>
      <c r="B74" s="175" t="s">
        <v>509</v>
      </c>
      <c r="C74" s="6">
        <v>1755.71</v>
      </c>
      <c r="D74" s="355">
        <v>1665</v>
      </c>
      <c r="E74" s="6">
        <v>1755.71</v>
      </c>
      <c r="F74" s="355">
        <v>1665</v>
      </c>
      <c r="G74" s="6">
        <v>1794.2</v>
      </c>
      <c r="H74" s="58">
        <f t="shared" si="22"/>
        <v>129.20000000000005</v>
      </c>
      <c r="I74" s="51">
        <f t="shared" si="23"/>
        <v>7.7597597597597628E-2</v>
      </c>
      <c r="J74" s="168"/>
      <c r="K74" s="58">
        <f t="shared" si="24"/>
        <v>38.490000000000009</v>
      </c>
      <c r="L74" s="59">
        <f t="shared" si="25"/>
        <v>2.192275489687933E-2</v>
      </c>
      <c r="M74" s="139"/>
    </row>
    <row r="75" spans="1:13" ht="41.25" x14ac:dyDescent="0.2">
      <c r="A75" s="154" t="s">
        <v>220</v>
      </c>
      <c r="B75" s="176" t="s">
        <v>510</v>
      </c>
      <c r="C75" s="6">
        <v>1020.0549999999999</v>
      </c>
      <c r="D75" s="355">
        <v>963</v>
      </c>
      <c r="E75" s="6">
        <v>1020.0549999999999</v>
      </c>
      <c r="F75" s="355">
        <v>963</v>
      </c>
      <c r="G75" s="6">
        <v>1007.45</v>
      </c>
      <c r="H75" s="58">
        <f t="shared" si="22"/>
        <v>44.450000000000045</v>
      </c>
      <c r="I75" s="51">
        <f t="shared" si="23"/>
        <v>4.6157840083073776E-2</v>
      </c>
      <c r="J75" s="168"/>
      <c r="K75" s="58">
        <f t="shared" si="24"/>
        <v>-12.604999999999905</v>
      </c>
      <c r="L75" s="59">
        <f t="shared" si="25"/>
        <v>-1.2357176818896927E-2</v>
      </c>
      <c r="M75" s="218"/>
    </row>
    <row r="76" spans="1:13" ht="22.5" x14ac:dyDescent="0.2">
      <c r="A76" s="154" t="s">
        <v>219</v>
      </c>
      <c r="B76" s="176" t="s">
        <v>511</v>
      </c>
      <c r="C76" s="6">
        <v>2161.9430000000002</v>
      </c>
      <c r="D76" s="355">
        <v>2183</v>
      </c>
      <c r="E76" s="6">
        <v>2161.9430000000002</v>
      </c>
      <c r="F76" s="355">
        <v>2183</v>
      </c>
      <c r="G76" s="6">
        <v>2205.6799999999998</v>
      </c>
      <c r="H76" s="58">
        <f t="shared" si="22"/>
        <v>22.679999999999836</v>
      </c>
      <c r="I76" s="51">
        <f t="shared" si="23"/>
        <v>1.0389372423270654E-2</v>
      </c>
      <c r="J76" s="218"/>
      <c r="K76" s="58">
        <f t="shared" si="24"/>
        <v>43.736999999999625</v>
      </c>
      <c r="L76" s="59">
        <f t="shared" si="25"/>
        <v>2.0230413105248205E-2</v>
      </c>
      <c r="M76" s="139"/>
    </row>
    <row r="77" spans="1:13" ht="22.5" x14ac:dyDescent="0.2">
      <c r="A77" s="154" t="s">
        <v>218</v>
      </c>
      <c r="B77" s="176" t="s">
        <v>512</v>
      </c>
      <c r="C77" s="6">
        <v>1031.7360000000001</v>
      </c>
      <c r="D77" s="355">
        <v>999</v>
      </c>
      <c r="E77" s="6">
        <v>1031.7360000000001</v>
      </c>
      <c r="F77" s="355">
        <v>999</v>
      </c>
      <c r="G77" s="6">
        <v>985.56</v>
      </c>
      <c r="H77" s="58">
        <f t="shared" si="22"/>
        <v>-13.440000000000055</v>
      </c>
      <c r="I77" s="51">
        <f t="shared" si="23"/>
        <v>-1.3453453453453508E-2</v>
      </c>
      <c r="J77" s="178"/>
      <c r="K77" s="58">
        <f t="shared" si="24"/>
        <v>-46.176000000000158</v>
      </c>
      <c r="L77" s="59">
        <f t="shared" si="25"/>
        <v>-4.4755635162483577E-2</v>
      </c>
      <c r="M77" s="139"/>
    </row>
    <row r="78" spans="1:13" ht="19.5" x14ac:dyDescent="0.2">
      <c r="A78" s="30" t="s">
        <v>491</v>
      </c>
      <c r="B78" s="179" t="s">
        <v>492</v>
      </c>
      <c r="C78" s="17" t="s">
        <v>215</v>
      </c>
      <c r="D78" s="17" t="s">
        <v>215</v>
      </c>
      <c r="E78" s="17" t="s">
        <v>215</v>
      </c>
      <c r="F78" s="17" t="s">
        <v>215</v>
      </c>
      <c r="G78" s="17" t="s">
        <v>215</v>
      </c>
      <c r="H78" s="31" t="s">
        <v>215</v>
      </c>
      <c r="I78" s="167" t="s">
        <v>215</v>
      </c>
      <c r="J78" s="167" t="s">
        <v>215</v>
      </c>
      <c r="K78" s="167" t="s">
        <v>215</v>
      </c>
      <c r="L78" s="167" t="s">
        <v>215</v>
      </c>
      <c r="M78" s="167" t="s">
        <v>215</v>
      </c>
    </row>
    <row r="79" spans="1:13" x14ac:dyDescent="0.2">
      <c r="A79" s="154" t="s">
        <v>493</v>
      </c>
      <c r="B79" s="176" t="s">
        <v>494</v>
      </c>
      <c r="C79" s="6">
        <v>15</v>
      </c>
      <c r="D79" s="204">
        <v>16</v>
      </c>
      <c r="E79" s="6">
        <v>15</v>
      </c>
      <c r="F79" s="204">
        <v>16</v>
      </c>
      <c r="G79" s="6">
        <v>15</v>
      </c>
      <c r="H79" s="58">
        <f t="shared" ref="H79:H82" si="26">G79-F79</f>
        <v>-1</v>
      </c>
      <c r="I79" s="166">
        <f t="shared" ref="I79:I82" si="27">IFERROR(H79/ABS(F79), "-")</f>
        <v>-6.25E-2</v>
      </c>
      <c r="J79" s="270"/>
      <c r="K79" s="58">
        <f t="shared" ref="K79:K82" si="28">G79-E79</f>
        <v>0</v>
      </c>
      <c r="L79" s="59">
        <f t="shared" ref="L79:L82" si="29">IFERROR(K79/ABS(E79), "-")</f>
        <v>0</v>
      </c>
      <c r="M79" s="178"/>
    </row>
    <row r="80" spans="1:13" ht="75" x14ac:dyDescent="0.2">
      <c r="A80" s="154" t="s">
        <v>495</v>
      </c>
      <c r="B80" s="176" t="s">
        <v>496</v>
      </c>
      <c r="C80" s="77">
        <v>53.06</v>
      </c>
      <c r="D80" s="204">
        <v>31</v>
      </c>
      <c r="E80" s="77">
        <v>53.06</v>
      </c>
      <c r="F80" s="204">
        <v>31</v>
      </c>
      <c r="G80" s="77">
        <v>32</v>
      </c>
      <c r="H80" s="58">
        <f t="shared" si="26"/>
        <v>1</v>
      </c>
      <c r="I80" s="166">
        <f t="shared" si="27"/>
        <v>3.2258064516129031E-2</v>
      </c>
      <c r="J80" s="168"/>
      <c r="K80" s="58">
        <f t="shared" si="28"/>
        <v>-21.060000000000002</v>
      </c>
      <c r="L80" s="59">
        <f t="shared" si="29"/>
        <v>-0.396909159442141</v>
      </c>
      <c r="M80" s="135" t="s">
        <v>788</v>
      </c>
    </row>
    <row r="81" spans="1:13" ht="56.25" x14ac:dyDescent="0.2">
      <c r="A81" s="154" t="s">
        <v>497</v>
      </c>
      <c r="B81" s="176" t="s">
        <v>536</v>
      </c>
      <c r="C81" s="6">
        <v>23</v>
      </c>
      <c r="D81" s="204">
        <v>23</v>
      </c>
      <c r="E81" s="6">
        <v>23</v>
      </c>
      <c r="F81" s="204">
        <v>23</v>
      </c>
      <c r="G81" s="6">
        <v>23</v>
      </c>
      <c r="H81" s="58">
        <f t="shared" si="26"/>
        <v>0</v>
      </c>
      <c r="I81" s="166">
        <f t="shared" si="27"/>
        <v>0</v>
      </c>
      <c r="J81" s="54"/>
      <c r="K81" s="58">
        <f t="shared" si="28"/>
        <v>0</v>
      </c>
      <c r="L81" s="59">
        <f t="shared" si="29"/>
        <v>0</v>
      </c>
      <c r="M81" s="47"/>
    </row>
    <row r="82" spans="1:13" ht="56.25" x14ac:dyDescent="0.2">
      <c r="A82" s="154" t="s">
        <v>498</v>
      </c>
      <c r="B82" s="176" t="s">
        <v>499</v>
      </c>
      <c r="C82" s="6">
        <v>41</v>
      </c>
      <c r="D82" s="204">
        <v>41</v>
      </c>
      <c r="E82" s="6">
        <v>41</v>
      </c>
      <c r="F82" s="204">
        <v>41</v>
      </c>
      <c r="G82" s="6">
        <v>40</v>
      </c>
      <c r="H82" s="58">
        <f t="shared" si="26"/>
        <v>-1</v>
      </c>
      <c r="I82" s="166">
        <f t="shared" si="27"/>
        <v>-2.4390243902439025E-2</v>
      </c>
      <c r="J82" s="54"/>
      <c r="K82" s="58">
        <f t="shared" si="28"/>
        <v>-1</v>
      </c>
      <c r="L82" s="59">
        <f t="shared" si="29"/>
        <v>-2.4390243902439025E-2</v>
      </c>
      <c r="M82" s="47"/>
    </row>
    <row r="83" spans="1:13" ht="19.5" x14ac:dyDescent="0.2">
      <c r="A83" s="28" t="s">
        <v>217</v>
      </c>
      <c r="B83" s="29" t="s">
        <v>500</v>
      </c>
      <c r="C83" s="17" t="s">
        <v>215</v>
      </c>
      <c r="D83" s="17" t="s">
        <v>215</v>
      </c>
      <c r="E83" s="17" t="s">
        <v>215</v>
      </c>
      <c r="F83" s="17" t="s">
        <v>215</v>
      </c>
      <c r="G83" s="17" t="s">
        <v>215</v>
      </c>
      <c r="H83" s="17" t="s">
        <v>215</v>
      </c>
      <c r="I83" s="18" t="s">
        <v>215</v>
      </c>
      <c r="J83" s="18" t="s">
        <v>215</v>
      </c>
      <c r="K83" s="18" t="s">
        <v>215</v>
      </c>
      <c r="L83" s="18" t="s">
        <v>215</v>
      </c>
      <c r="M83" s="18" t="s">
        <v>215</v>
      </c>
    </row>
    <row r="84" spans="1:13" ht="22.5" x14ac:dyDescent="0.2">
      <c r="A84" s="25" t="s">
        <v>216</v>
      </c>
      <c r="B84" s="14" t="s">
        <v>514</v>
      </c>
      <c r="C84" s="77">
        <v>26842</v>
      </c>
      <c r="D84" s="76">
        <v>26842</v>
      </c>
      <c r="E84" s="77">
        <v>26842</v>
      </c>
      <c r="F84" s="76">
        <v>26842</v>
      </c>
      <c r="G84" s="76">
        <v>26842</v>
      </c>
      <c r="H84" s="56">
        <f t="shared" ref="H84:H89" si="30">G84-F84</f>
        <v>0</v>
      </c>
      <c r="I84" s="52">
        <f t="shared" ref="I84:I89" si="31">IFERROR(H84/ABS(F84), "-")</f>
        <v>0</v>
      </c>
      <c r="J84" s="55"/>
      <c r="K84" s="56">
        <f t="shared" ref="K84:K85" si="32">G84-E84</f>
        <v>0</v>
      </c>
      <c r="L84" s="57">
        <f t="shared" ref="L84:L87" si="33">IFERROR(K84/ABS(E84), "-")</f>
        <v>0</v>
      </c>
      <c r="M84" s="49"/>
    </row>
    <row r="85" spans="1:13" ht="37.5" x14ac:dyDescent="0.2">
      <c r="A85" s="25" t="s">
        <v>542</v>
      </c>
      <c r="B85" s="32" t="s">
        <v>358</v>
      </c>
      <c r="C85" s="77">
        <v>7361</v>
      </c>
      <c r="D85" s="76">
        <v>7361</v>
      </c>
      <c r="E85" s="77">
        <v>7361</v>
      </c>
      <c r="F85" s="76">
        <v>7361</v>
      </c>
      <c r="G85" s="76">
        <v>7361</v>
      </c>
      <c r="H85" s="56">
        <f t="shared" si="30"/>
        <v>0</v>
      </c>
      <c r="I85" s="52">
        <f t="shared" si="31"/>
        <v>0</v>
      </c>
      <c r="K85" s="56">
        <f t="shared" si="32"/>
        <v>0</v>
      </c>
      <c r="L85" s="57">
        <f t="shared" si="33"/>
        <v>0</v>
      </c>
      <c r="M85" s="49"/>
    </row>
    <row r="86" spans="1:13" x14ac:dyDescent="0.3">
      <c r="A86" s="25" t="s">
        <v>541</v>
      </c>
      <c r="B86" s="13" t="s">
        <v>758</v>
      </c>
      <c r="C86" s="3">
        <v>4069230</v>
      </c>
      <c r="D86" s="77">
        <f>4069230*1.03</f>
        <v>4191306.9</v>
      </c>
      <c r="E86" s="3">
        <v>4069230</v>
      </c>
      <c r="F86" s="77">
        <f>4069230*1.03</f>
        <v>4191306.9</v>
      </c>
      <c r="G86" s="3">
        <v>3689770</v>
      </c>
      <c r="H86" s="56">
        <f>G86-F86</f>
        <v>-501536.89999999991</v>
      </c>
      <c r="I86" s="52">
        <f t="shared" si="31"/>
        <v>-0.11966122070421517</v>
      </c>
      <c r="J86" s="650" t="s">
        <v>784</v>
      </c>
      <c r="K86" s="56">
        <f>G86-E86</f>
        <v>-379460</v>
      </c>
      <c r="L86" s="57">
        <f>IFERROR(K86/ABS(E86), "-")</f>
        <v>-9.3251057325341655E-2</v>
      </c>
      <c r="M86" s="647"/>
    </row>
    <row r="87" spans="1:13" x14ac:dyDescent="0.2">
      <c r="A87" s="25" t="s">
        <v>543</v>
      </c>
      <c r="B87" s="13" t="s">
        <v>212</v>
      </c>
      <c r="C87" s="3">
        <v>1881667</v>
      </c>
      <c r="D87" s="77">
        <f>1881667*1.03</f>
        <v>1938117.01</v>
      </c>
      <c r="E87" s="3">
        <v>1881667</v>
      </c>
      <c r="F87" s="77">
        <f>1881667*1.03</f>
        <v>1938117.01</v>
      </c>
      <c r="G87" s="3">
        <v>1723469.38</v>
      </c>
      <c r="H87" s="56">
        <f>G87-F87</f>
        <v>-214647.63000000012</v>
      </c>
      <c r="I87" s="52">
        <f t="shared" si="31"/>
        <v>-0.11075060426821191</v>
      </c>
      <c r="J87" s="651" t="s">
        <v>785</v>
      </c>
      <c r="K87" s="56">
        <f>G87-E87</f>
        <v>-158197.62000000011</v>
      </c>
      <c r="L87" s="57">
        <f t="shared" si="33"/>
        <v>-8.4073122396258276E-2</v>
      </c>
      <c r="M87" s="648"/>
    </row>
    <row r="88" spans="1:13" ht="22.5" x14ac:dyDescent="0.2">
      <c r="A88" s="25" t="s">
        <v>214</v>
      </c>
      <c r="B88" s="13" t="s">
        <v>515</v>
      </c>
      <c r="C88" s="3">
        <v>16656</v>
      </c>
      <c r="D88" s="77">
        <f>16656*1.03</f>
        <v>17155.68</v>
      </c>
      <c r="E88" s="3">
        <v>16656</v>
      </c>
      <c r="F88" s="77">
        <f>16656*1.03</f>
        <v>17155.68</v>
      </c>
      <c r="G88" s="3">
        <v>16186</v>
      </c>
      <c r="H88" s="56">
        <f>G88-F88</f>
        <v>-969.68000000000029</v>
      </c>
      <c r="I88" s="52">
        <f>IFERROR(H88/ABS(F88), "-")</f>
        <v>-5.6522387920502147E-2</v>
      </c>
      <c r="J88" s="649"/>
      <c r="K88" s="56">
        <f>G88-E88</f>
        <v>-470</v>
      </c>
      <c r="L88" s="57">
        <f>IFERROR(K88/ABS(E88), "-")</f>
        <v>-2.8218059558117195E-2</v>
      </c>
      <c r="M88" s="643"/>
    </row>
    <row r="89" spans="1:13" ht="22.5" x14ac:dyDescent="0.2">
      <c r="A89" s="25" t="s">
        <v>213</v>
      </c>
      <c r="B89" s="13" t="s">
        <v>516</v>
      </c>
      <c r="C89" s="3">
        <v>17960.039999999997</v>
      </c>
      <c r="D89" s="77">
        <f>17960.04*1.03</f>
        <v>18498.841200000003</v>
      </c>
      <c r="E89" s="3">
        <v>17960.039999999997</v>
      </c>
      <c r="F89" s="77">
        <f>17960.04*1.03</f>
        <v>18498.841200000003</v>
      </c>
      <c r="G89" s="3">
        <v>17480.04</v>
      </c>
      <c r="H89" s="56">
        <f t="shared" si="30"/>
        <v>-1018.8012000000017</v>
      </c>
      <c r="I89" s="52">
        <f t="shared" si="31"/>
        <v>-5.5073784837939017E-2</v>
      </c>
      <c r="J89" s="649"/>
      <c r="K89" s="56">
        <f>G89-E89</f>
        <v>-479.99999999999636</v>
      </c>
      <c r="L89" s="57">
        <f>IFERROR(K89/ABS(E89), "-")</f>
        <v>-2.6725998383076901E-2</v>
      </c>
      <c r="M89" s="643"/>
    </row>
    <row r="90" spans="1:13" ht="37.5" x14ac:dyDescent="0.2">
      <c r="A90" s="30" t="s">
        <v>501</v>
      </c>
      <c r="B90" s="33" t="s">
        <v>502</v>
      </c>
      <c r="C90" s="17" t="s">
        <v>215</v>
      </c>
      <c r="D90" s="17" t="s">
        <v>215</v>
      </c>
      <c r="E90" s="17" t="s">
        <v>215</v>
      </c>
      <c r="F90" s="17" t="s">
        <v>215</v>
      </c>
      <c r="G90" s="34" t="s">
        <v>215</v>
      </c>
      <c r="H90" s="31" t="s">
        <v>215</v>
      </c>
      <c r="I90" s="35" t="s">
        <v>215</v>
      </c>
      <c r="J90" s="35" t="s">
        <v>215</v>
      </c>
      <c r="K90" s="35" t="s">
        <v>215</v>
      </c>
      <c r="L90" s="35" t="s">
        <v>215</v>
      </c>
      <c r="M90" s="35" t="s">
        <v>215</v>
      </c>
    </row>
    <row r="91" spans="1:13" ht="41.25" x14ac:dyDescent="0.2">
      <c r="A91" s="25" t="s">
        <v>503</v>
      </c>
      <c r="B91" s="13" t="s">
        <v>517</v>
      </c>
      <c r="C91" s="3"/>
      <c r="D91" s="356"/>
      <c r="E91" s="3"/>
      <c r="F91" s="356"/>
      <c r="G91" s="3"/>
      <c r="H91" s="56">
        <f>G91-F91</f>
        <v>0</v>
      </c>
      <c r="I91" s="52" t="str">
        <f>IFERROR(H91/ABS(F91), "-")</f>
        <v>-</v>
      </c>
      <c r="J91" s="55"/>
      <c r="K91" s="56">
        <f>G91-E91</f>
        <v>0</v>
      </c>
      <c r="L91" s="57" t="str">
        <f>IFERROR(K91/ABS(E91), "-")</f>
        <v>-</v>
      </c>
      <c r="M91" s="49"/>
    </row>
    <row r="92" spans="1:13" x14ac:dyDescent="0.2">
      <c r="A92" s="36"/>
      <c r="B92" s="37"/>
      <c r="C92" s="39"/>
      <c r="D92" s="40"/>
      <c r="E92" s="39"/>
      <c r="F92" s="38"/>
      <c r="G92" s="39"/>
      <c r="H92" s="40"/>
      <c r="I92" s="41"/>
      <c r="J92" s="41"/>
      <c r="K92" s="42"/>
    </row>
    <row r="93" spans="1:13" x14ac:dyDescent="0.2">
      <c r="A93" s="70" t="s">
        <v>544</v>
      </c>
      <c r="B93" s="37"/>
      <c r="C93" s="38"/>
      <c r="D93" s="38"/>
      <c r="E93" s="39"/>
      <c r="F93" s="38"/>
      <c r="G93" s="39"/>
      <c r="H93" s="40"/>
      <c r="I93" s="41"/>
      <c r="J93" s="41"/>
      <c r="K93" s="42"/>
    </row>
    <row r="94" spans="1:13" s="43" customFormat="1" x14ac:dyDescent="0.2">
      <c r="A94" s="829" t="s">
        <v>518</v>
      </c>
      <c r="B94" s="829"/>
      <c r="C94" s="829"/>
      <c r="D94" s="829"/>
      <c r="E94" s="829"/>
      <c r="F94" s="829"/>
      <c r="G94" s="829"/>
      <c r="H94" s="829"/>
      <c r="I94" s="829"/>
      <c r="J94" s="829"/>
      <c r="K94" s="829"/>
    </row>
    <row r="95" spans="1:13" s="43" customFormat="1" ht="18.75" customHeight="1" x14ac:dyDescent="0.2">
      <c r="A95" s="829" t="s">
        <v>519</v>
      </c>
      <c r="B95" s="829"/>
      <c r="C95" s="829"/>
      <c r="D95" s="829"/>
      <c r="E95" s="829"/>
      <c r="F95" s="829"/>
      <c r="G95" s="829"/>
      <c r="H95" s="829"/>
      <c r="I95" s="829"/>
      <c r="J95" s="829"/>
      <c r="K95" s="829"/>
    </row>
    <row r="96" spans="1:13" s="43" customFormat="1" ht="18" customHeight="1" x14ac:dyDescent="0.2">
      <c r="A96" s="829" t="s">
        <v>520</v>
      </c>
      <c r="B96" s="829"/>
      <c r="C96" s="829"/>
      <c r="D96" s="829"/>
      <c r="E96" s="829"/>
      <c r="F96" s="829"/>
      <c r="G96" s="829"/>
      <c r="H96" s="829"/>
      <c r="I96" s="829"/>
      <c r="J96" s="829"/>
      <c r="K96" s="829"/>
    </row>
    <row r="97" spans="1:11" s="43" customFormat="1" ht="21.75" customHeight="1" x14ac:dyDescent="0.2">
      <c r="A97" s="829" t="s">
        <v>521</v>
      </c>
      <c r="B97" s="829"/>
      <c r="C97" s="829"/>
      <c r="D97" s="829"/>
      <c r="E97" s="829"/>
      <c r="F97" s="829"/>
      <c r="G97" s="829"/>
      <c r="H97" s="829"/>
      <c r="I97" s="829"/>
      <c r="J97" s="829"/>
      <c r="K97" s="829"/>
    </row>
    <row r="98" spans="1:11" s="43" customFormat="1" ht="18" customHeight="1" x14ac:dyDescent="0.2">
      <c r="A98" s="829" t="s">
        <v>522</v>
      </c>
      <c r="B98" s="829"/>
      <c r="C98" s="829"/>
      <c r="D98" s="829"/>
      <c r="E98" s="829"/>
      <c r="F98" s="829"/>
      <c r="G98" s="829"/>
      <c r="H98" s="829"/>
      <c r="I98" s="829"/>
      <c r="J98" s="829"/>
      <c r="K98" s="829"/>
    </row>
    <row r="99" spans="1:11" s="43" customFormat="1" ht="17.25" customHeight="1" x14ac:dyDescent="0.2">
      <c r="A99" s="829" t="s">
        <v>523</v>
      </c>
      <c r="B99" s="829"/>
      <c r="C99" s="829"/>
      <c r="D99" s="829"/>
      <c r="E99" s="829"/>
      <c r="F99" s="829"/>
      <c r="G99" s="829"/>
      <c r="H99" s="829"/>
      <c r="I99" s="829"/>
      <c r="J99" s="829"/>
      <c r="K99" s="829"/>
    </row>
    <row r="100" spans="1:11" s="43" customFormat="1" x14ac:dyDescent="0.2">
      <c r="A100" s="829" t="s">
        <v>504</v>
      </c>
      <c r="B100" s="829"/>
      <c r="C100" s="829"/>
      <c r="D100" s="829"/>
      <c r="E100" s="829"/>
      <c r="F100" s="829"/>
      <c r="G100" s="829"/>
      <c r="H100" s="829"/>
      <c r="I100" s="829"/>
      <c r="J100" s="829"/>
      <c r="K100" s="829"/>
    </row>
    <row r="101" spans="1:11" s="43" customFormat="1" x14ac:dyDescent="0.2">
      <c r="A101" s="829" t="s">
        <v>524</v>
      </c>
      <c r="B101" s="829"/>
      <c r="C101" s="829"/>
      <c r="D101" s="829"/>
      <c r="E101" s="829"/>
      <c r="F101" s="829"/>
      <c r="G101" s="829"/>
      <c r="H101" s="829"/>
      <c r="I101" s="829"/>
      <c r="J101" s="829"/>
      <c r="K101" s="829"/>
    </row>
    <row r="102" spans="1:11" s="43" customFormat="1" ht="41.25" customHeight="1" x14ac:dyDescent="0.2">
      <c r="A102" s="829" t="s">
        <v>525</v>
      </c>
      <c r="B102" s="829"/>
      <c r="C102" s="829"/>
      <c r="D102" s="829"/>
      <c r="E102" s="829"/>
      <c r="F102" s="829"/>
      <c r="G102" s="829"/>
      <c r="H102" s="829"/>
      <c r="I102" s="829"/>
      <c r="J102" s="829"/>
      <c r="K102" s="829"/>
    </row>
    <row r="103" spans="1:11" s="43" customFormat="1" ht="40.5" customHeight="1" x14ac:dyDescent="0.2">
      <c r="A103" s="829" t="s">
        <v>537</v>
      </c>
      <c r="B103" s="829"/>
      <c r="C103" s="829"/>
      <c r="D103" s="829"/>
      <c r="E103" s="829"/>
      <c r="F103" s="829"/>
      <c r="G103" s="829"/>
      <c r="H103" s="829"/>
      <c r="I103" s="829"/>
      <c r="J103" s="829"/>
      <c r="K103" s="829"/>
    </row>
    <row r="104" spans="1:11" s="43" customFormat="1" x14ac:dyDescent="0.2">
      <c r="A104" s="829" t="s">
        <v>538</v>
      </c>
      <c r="B104" s="829"/>
      <c r="C104" s="829"/>
      <c r="D104" s="829"/>
      <c r="E104" s="829"/>
      <c r="F104" s="829"/>
      <c r="G104" s="829"/>
      <c r="H104" s="829"/>
      <c r="I104" s="829"/>
      <c r="J104" s="829"/>
      <c r="K104" s="829"/>
    </row>
    <row r="105" spans="1:11" s="43" customFormat="1" x14ac:dyDescent="0.2">
      <c r="A105" s="829" t="s">
        <v>539</v>
      </c>
      <c r="B105" s="829"/>
      <c r="C105" s="829"/>
      <c r="D105" s="829"/>
      <c r="E105" s="829"/>
      <c r="F105" s="829"/>
      <c r="G105" s="829"/>
      <c r="H105" s="829"/>
      <c r="I105" s="829"/>
      <c r="J105" s="829"/>
      <c r="K105" s="829"/>
    </row>
    <row r="106" spans="1:11" s="43" customFormat="1" x14ac:dyDescent="0.2">
      <c r="A106" s="829" t="s">
        <v>540</v>
      </c>
      <c r="B106" s="829"/>
      <c r="C106" s="829"/>
      <c r="D106" s="829"/>
      <c r="E106" s="829"/>
      <c r="F106" s="829"/>
      <c r="G106" s="829"/>
      <c r="H106" s="829"/>
      <c r="I106" s="829"/>
      <c r="J106" s="829"/>
      <c r="K106" s="829"/>
    </row>
    <row r="107" spans="1:11" ht="22.5" x14ac:dyDescent="0.2">
      <c r="A107" s="4" t="s">
        <v>607</v>
      </c>
    </row>
  </sheetData>
  <sheetProtection formatColumns="0" formatRows="0"/>
  <mergeCells count="13">
    <mergeCell ref="A99:K99"/>
    <mergeCell ref="A94:K94"/>
    <mergeCell ref="A95:K95"/>
    <mergeCell ref="A96:K96"/>
    <mergeCell ref="A97:K97"/>
    <mergeCell ref="A98:K98"/>
    <mergeCell ref="A106:K106"/>
    <mergeCell ref="A100:K100"/>
    <mergeCell ref="A101:K101"/>
    <mergeCell ref="A102:K102"/>
    <mergeCell ref="A103:K103"/>
    <mergeCell ref="A104:K104"/>
    <mergeCell ref="A105:K105"/>
  </mergeCells>
  <pageMargins left="0.70866141732283472" right="0.70866141732283472" top="0.59055118110236227" bottom="0.51181102362204722" header="0.31496062992125984" footer="0.31496062992125984"/>
  <pageSetup paperSize="9" scale="29" fitToHeight="2" orientation="portrait" r:id="rId1"/>
  <headerFooter>
    <oddHeader xml:space="preserve">&amp;C&amp;"Times New Roman,Bold"&amp;14
Naturālie rādītāji&amp;R&amp;"Times New Roman,Regular"&amp;14 5.pielikums
</oddHeader>
    <oddFooter>&amp;C&amp;"Times New Roman,Regular"&amp;12&amp;F &amp;A&amp;R&amp;"Times New Roman,Regular"&amp;12&amp;P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2C359-C42E-4437-BAA4-2EADCDA120D8}">
  <sheetPr>
    <tabColor rgb="FF92D050"/>
    <pageSetUpPr fitToPage="1"/>
  </sheetPr>
  <dimension ref="A1:M82"/>
  <sheetViews>
    <sheetView topLeftCell="A66" workbookViewId="0">
      <selection activeCell="G54" sqref="G54"/>
    </sheetView>
  </sheetViews>
  <sheetFormatPr defaultRowHeight="12.75" x14ac:dyDescent="0.2"/>
  <cols>
    <col min="1" max="1" width="18" customWidth="1"/>
    <col min="2" max="2" width="21.85546875" customWidth="1"/>
    <col min="3" max="4" width="10.140625" style="687" bestFit="1" customWidth="1"/>
    <col min="5" max="5" width="15.85546875" style="687" customWidth="1"/>
    <col min="6" max="6" width="15.7109375" style="687" customWidth="1"/>
    <col min="7" max="7" width="13.42578125" customWidth="1"/>
    <col min="8" max="8" width="13.5703125" customWidth="1"/>
    <col min="9" max="9" width="14.42578125" customWidth="1"/>
    <col min="10" max="10" width="33.42578125" customWidth="1"/>
    <col min="11" max="12" width="9" bestFit="1" customWidth="1"/>
    <col min="13" max="13" width="34.42578125" customWidth="1"/>
  </cols>
  <sheetData>
    <row r="1" spans="1:13" x14ac:dyDescent="0.2">
      <c r="A1" s="833" t="s">
        <v>0</v>
      </c>
      <c r="B1" s="834" t="s">
        <v>722</v>
      </c>
      <c r="C1" s="834" t="s">
        <v>681</v>
      </c>
      <c r="D1" s="835" t="s">
        <v>682</v>
      </c>
      <c r="E1" s="835" t="s">
        <v>776</v>
      </c>
      <c r="F1" s="835" t="s">
        <v>777</v>
      </c>
      <c r="G1" s="835" t="s">
        <v>779</v>
      </c>
      <c r="H1" s="834" t="s">
        <v>683</v>
      </c>
      <c r="I1" s="834" t="s">
        <v>684</v>
      </c>
      <c r="J1" s="834" t="s">
        <v>721</v>
      </c>
      <c r="K1" s="834" t="s">
        <v>685</v>
      </c>
      <c r="L1" s="834" t="s">
        <v>686</v>
      </c>
      <c r="M1" s="834" t="s">
        <v>721</v>
      </c>
    </row>
    <row r="2" spans="1:13" ht="110.25" customHeight="1" x14ac:dyDescent="0.2">
      <c r="A2" s="833"/>
      <c r="B2" s="834"/>
      <c r="C2" s="834"/>
      <c r="D2" s="836"/>
      <c r="E2" s="836"/>
      <c r="F2" s="836"/>
      <c r="G2" s="836"/>
      <c r="H2" s="834"/>
      <c r="I2" s="834"/>
      <c r="J2" s="834"/>
      <c r="K2" s="834"/>
      <c r="L2" s="834"/>
      <c r="M2" s="834"/>
    </row>
    <row r="3" spans="1:13" ht="15.75" x14ac:dyDescent="0.2">
      <c r="A3" s="416">
        <v>1</v>
      </c>
      <c r="B3" s="415">
        <v>2</v>
      </c>
      <c r="C3" s="415">
        <v>3</v>
      </c>
      <c r="D3" s="415">
        <v>4</v>
      </c>
      <c r="E3" s="415">
        <v>5</v>
      </c>
      <c r="F3" s="415">
        <v>6</v>
      </c>
      <c r="G3" s="415">
        <v>7</v>
      </c>
      <c r="H3" s="416">
        <v>8</v>
      </c>
      <c r="I3" s="415">
        <v>9</v>
      </c>
      <c r="J3" s="415">
        <v>10</v>
      </c>
      <c r="K3" s="415">
        <v>11</v>
      </c>
      <c r="L3" s="415">
        <v>12</v>
      </c>
      <c r="M3" s="415">
        <v>13</v>
      </c>
    </row>
    <row r="4" spans="1:13" ht="31.5" x14ac:dyDescent="0.25">
      <c r="A4" s="370">
        <v>51000</v>
      </c>
      <c r="B4" s="371" t="s">
        <v>292</v>
      </c>
      <c r="C4" s="372">
        <v>47069</v>
      </c>
      <c r="D4" s="373">
        <v>0</v>
      </c>
      <c r="E4" s="403">
        <f>E5+E8+E11+E14</f>
        <v>47069</v>
      </c>
      <c r="F4" s="677">
        <v>0</v>
      </c>
      <c r="G4" s="403">
        <f>G8+G11+G14</f>
        <v>33275</v>
      </c>
      <c r="H4" s="374">
        <f>G4-F4</f>
        <v>33275</v>
      </c>
      <c r="I4" s="393" t="str">
        <f>IFERROR(H4/ABS(F4), "-")</f>
        <v>-</v>
      </c>
      <c r="J4" s="374"/>
      <c r="K4" s="374">
        <f>G4-E4</f>
        <v>-13794</v>
      </c>
      <c r="L4" s="404">
        <f>IFERROR(K4/ABS(E4), "-")</f>
        <v>-0.29305912596401029</v>
      </c>
      <c r="M4" s="374"/>
    </row>
    <row r="5" spans="1:13" ht="34.5" x14ac:dyDescent="0.25">
      <c r="A5" s="416">
        <v>51100</v>
      </c>
      <c r="B5" s="375" t="s">
        <v>723</v>
      </c>
      <c r="C5" s="376">
        <v>0</v>
      </c>
      <c r="D5" s="376">
        <v>0</v>
      </c>
      <c r="E5" s="376">
        <v>0</v>
      </c>
      <c r="F5" s="376">
        <v>0</v>
      </c>
      <c r="G5" s="405"/>
      <c r="H5" s="374">
        <f t="shared" ref="H5:H80" si="0">G5-F5</f>
        <v>0</v>
      </c>
      <c r="I5" s="393" t="str">
        <f t="shared" ref="I5:I80" si="1">IFERROR(H5/ABS(F5), "-")</f>
        <v>-</v>
      </c>
      <c r="J5" s="837" t="s">
        <v>866</v>
      </c>
      <c r="K5" s="374">
        <f t="shared" ref="K5:K80" si="2">G5-E5</f>
        <v>0</v>
      </c>
      <c r="L5" s="393" t="str">
        <f t="shared" ref="L5:L80" si="3">IFERROR(K5/ABS(E5), "-")</f>
        <v>-</v>
      </c>
      <c r="M5" s="840" t="s">
        <v>867</v>
      </c>
    </row>
    <row r="6" spans="1:13" ht="15.75" x14ac:dyDescent="0.25">
      <c r="A6" s="416"/>
      <c r="B6" s="375"/>
      <c r="C6" s="376"/>
      <c r="D6" s="376"/>
      <c r="E6" s="376"/>
      <c r="F6" s="376"/>
      <c r="G6" s="405"/>
      <c r="H6" s="374">
        <f t="shared" si="0"/>
        <v>0</v>
      </c>
      <c r="I6" s="393" t="str">
        <f t="shared" si="1"/>
        <v>-</v>
      </c>
      <c r="J6" s="838"/>
      <c r="K6" s="374">
        <f t="shared" si="2"/>
        <v>0</v>
      </c>
      <c r="L6" s="393" t="str">
        <f t="shared" si="3"/>
        <v>-</v>
      </c>
      <c r="M6" s="841"/>
    </row>
    <row r="7" spans="1:13" ht="15.75" x14ac:dyDescent="0.25">
      <c r="A7" s="416"/>
      <c r="B7" s="375"/>
      <c r="C7" s="376"/>
      <c r="D7" s="376"/>
      <c r="E7" s="376"/>
      <c r="F7" s="376"/>
      <c r="G7" s="405"/>
      <c r="H7" s="374">
        <f t="shared" si="0"/>
        <v>0</v>
      </c>
      <c r="I7" s="393" t="str">
        <f t="shared" si="1"/>
        <v>-</v>
      </c>
      <c r="J7" s="838"/>
      <c r="K7" s="374">
        <f t="shared" si="2"/>
        <v>0</v>
      </c>
      <c r="L7" s="393" t="str">
        <f t="shared" si="3"/>
        <v>-</v>
      </c>
      <c r="M7" s="841"/>
    </row>
    <row r="8" spans="1:13" ht="34.5" x14ac:dyDescent="0.25">
      <c r="A8" s="406">
        <v>51200</v>
      </c>
      <c r="B8" s="407" t="s">
        <v>724</v>
      </c>
      <c r="C8" s="408">
        <v>10769</v>
      </c>
      <c r="D8" s="409">
        <v>0</v>
      </c>
      <c r="E8" s="409">
        <v>10769</v>
      </c>
      <c r="F8" s="409">
        <v>0</v>
      </c>
      <c r="G8" s="410">
        <f>G9</f>
        <v>33275</v>
      </c>
      <c r="H8" s="374">
        <f t="shared" si="0"/>
        <v>33275</v>
      </c>
      <c r="I8" s="393" t="str">
        <f t="shared" si="1"/>
        <v>-</v>
      </c>
      <c r="J8" s="838"/>
      <c r="K8" s="374">
        <f t="shared" si="2"/>
        <v>22506</v>
      </c>
      <c r="L8" s="393">
        <f t="shared" si="3"/>
        <v>2.0898876404494384</v>
      </c>
      <c r="M8" s="841"/>
    </row>
    <row r="9" spans="1:13" ht="47.25" x14ac:dyDescent="0.25">
      <c r="A9" s="377"/>
      <c r="B9" s="378" t="s">
        <v>746</v>
      </c>
      <c r="C9" s="376"/>
      <c r="D9" s="376"/>
      <c r="E9" s="376"/>
      <c r="F9" s="376"/>
      <c r="G9" s="405">
        <v>33275</v>
      </c>
      <c r="H9" s="374">
        <f t="shared" si="0"/>
        <v>33275</v>
      </c>
      <c r="I9" s="393" t="str">
        <f t="shared" si="1"/>
        <v>-</v>
      </c>
      <c r="J9" s="838"/>
      <c r="K9" s="374">
        <f t="shared" si="2"/>
        <v>33275</v>
      </c>
      <c r="L9" s="393" t="str">
        <f t="shared" si="3"/>
        <v>-</v>
      </c>
      <c r="M9" s="841"/>
    </row>
    <row r="10" spans="1:13" ht="15.75" x14ac:dyDescent="0.25">
      <c r="A10" s="377"/>
      <c r="B10" s="378"/>
      <c r="C10" s="376"/>
      <c r="D10" s="376"/>
      <c r="E10" s="376"/>
      <c r="F10" s="376"/>
      <c r="G10" s="376"/>
      <c r="H10" s="374">
        <f t="shared" si="0"/>
        <v>0</v>
      </c>
      <c r="I10" s="393" t="str">
        <f t="shared" si="1"/>
        <v>-</v>
      </c>
      <c r="J10" s="838"/>
      <c r="K10" s="374">
        <f t="shared" si="2"/>
        <v>0</v>
      </c>
      <c r="L10" s="393" t="str">
        <f t="shared" si="3"/>
        <v>-</v>
      </c>
      <c r="M10" s="841"/>
    </row>
    <row r="11" spans="1:13" ht="78.75" x14ac:dyDescent="0.25">
      <c r="A11" s="406">
        <v>51300</v>
      </c>
      <c r="B11" s="407" t="s">
        <v>298</v>
      </c>
      <c r="C11" s="408">
        <v>36300</v>
      </c>
      <c r="D11" s="409">
        <v>0</v>
      </c>
      <c r="E11" s="410">
        <f>E12</f>
        <v>36300</v>
      </c>
      <c r="F11" s="409">
        <v>0</v>
      </c>
      <c r="G11" s="409"/>
      <c r="H11" s="374">
        <f t="shared" si="0"/>
        <v>0</v>
      </c>
      <c r="I11" s="393" t="str">
        <f t="shared" si="1"/>
        <v>-</v>
      </c>
      <c r="J11" s="838"/>
      <c r="K11" s="374">
        <f t="shared" si="2"/>
        <v>-36300</v>
      </c>
      <c r="L11" s="393">
        <f t="shared" si="3"/>
        <v>-1</v>
      </c>
      <c r="M11" s="841"/>
    </row>
    <row r="12" spans="1:13" ht="31.5" x14ac:dyDescent="0.25">
      <c r="A12" s="377"/>
      <c r="B12" s="378" t="s">
        <v>761</v>
      </c>
      <c r="C12" s="376"/>
      <c r="D12" s="376"/>
      <c r="E12" s="376">
        <v>36300</v>
      </c>
      <c r="F12" s="376"/>
      <c r="G12" s="376"/>
      <c r="H12" s="374">
        <f t="shared" si="0"/>
        <v>0</v>
      </c>
      <c r="I12" s="393" t="str">
        <f t="shared" si="1"/>
        <v>-</v>
      </c>
      <c r="J12" s="838"/>
      <c r="K12" s="374">
        <f t="shared" si="2"/>
        <v>-36300</v>
      </c>
      <c r="L12" s="393">
        <f t="shared" si="3"/>
        <v>-1</v>
      </c>
      <c r="M12" s="841"/>
    </row>
    <row r="13" spans="1:13" ht="15.75" x14ac:dyDescent="0.25">
      <c r="A13" s="377"/>
      <c r="B13" s="378"/>
      <c r="C13" s="376"/>
      <c r="D13" s="376"/>
      <c r="E13" s="376"/>
      <c r="F13" s="376"/>
      <c r="G13" s="376"/>
      <c r="H13" s="374">
        <f t="shared" si="0"/>
        <v>0</v>
      </c>
      <c r="I13" s="393" t="str">
        <f t="shared" si="1"/>
        <v>-</v>
      </c>
      <c r="J13" s="838"/>
      <c r="K13" s="374">
        <f t="shared" si="2"/>
        <v>0</v>
      </c>
      <c r="L13" s="393" t="str">
        <f t="shared" si="3"/>
        <v>-</v>
      </c>
      <c r="M13" s="841"/>
    </row>
    <row r="14" spans="1:13" ht="34.5" x14ac:dyDescent="0.25">
      <c r="A14" s="415">
        <v>51400</v>
      </c>
      <c r="B14" s="375" t="s">
        <v>725</v>
      </c>
      <c r="C14" s="376">
        <v>0</v>
      </c>
      <c r="D14" s="376">
        <v>0</v>
      </c>
      <c r="E14" s="376">
        <v>0</v>
      </c>
      <c r="F14" s="376">
        <v>0</v>
      </c>
      <c r="G14" s="376"/>
      <c r="H14" s="374">
        <f t="shared" si="0"/>
        <v>0</v>
      </c>
      <c r="I14" s="393" t="str">
        <f t="shared" si="1"/>
        <v>-</v>
      </c>
      <c r="J14" s="838"/>
      <c r="K14" s="374">
        <f t="shared" si="2"/>
        <v>0</v>
      </c>
      <c r="L14" s="393" t="str">
        <f t="shared" si="3"/>
        <v>-</v>
      </c>
      <c r="M14" s="841"/>
    </row>
    <row r="15" spans="1:13" ht="15.75" x14ac:dyDescent="0.25">
      <c r="A15" s="377"/>
      <c r="B15" s="378"/>
      <c r="C15" s="376"/>
      <c r="D15" s="376"/>
      <c r="E15" s="376"/>
      <c r="F15" s="376"/>
      <c r="G15" s="376"/>
      <c r="H15" s="374">
        <f t="shared" si="0"/>
        <v>0</v>
      </c>
      <c r="I15" s="393" t="str">
        <f t="shared" si="1"/>
        <v>-</v>
      </c>
      <c r="J15" s="838"/>
      <c r="K15" s="374">
        <f t="shared" si="2"/>
        <v>0</v>
      </c>
      <c r="L15" s="393" t="str">
        <f t="shared" si="3"/>
        <v>-</v>
      </c>
      <c r="M15" s="841"/>
    </row>
    <row r="16" spans="1:13" ht="15.75" x14ac:dyDescent="0.25">
      <c r="A16" s="377"/>
      <c r="B16" s="378"/>
      <c r="C16" s="376"/>
      <c r="D16" s="376"/>
      <c r="E16" s="376"/>
      <c r="F16" s="376"/>
      <c r="G16" s="376"/>
      <c r="H16" s="374">
        <f t="shared" si="0"/>
        <v>0</v>
      </c>
      <c r="I16" s="393" t="str">
        <f t="shared" si="1"/>
        <v>-</v>
      </c>
      <c r="J16" s="839"/>
      <c r="K16" s="374">
        <f t="shared" si="2"/>
        <v>0</v>
      </c>
      <c r="L16" s="393" t="str">
        <f t="shared" si="3"/>
        <v>-</v>
      </c>
      <c r="M16" s="842"/>
    </row>
    <row r="17" spans="1:13" ht="31.5" x14ac:dyDescent="0.25">
      <c r="A17" s="370">
        <v>52000</v>
      </c>
      <c r="B17" s="371" t="s">
        <v>293</v>
      </c>
      <c r="C17" s="372">
        <v>514861</v>
      </c>
      <c r="D17" s="372">
        <v>200000</v>
      </c>
      <c r="E17" s="372">
        <f>E18+E19+E20+E21+E22+E23+E24</f>
        <v>514861</v>
      </c>
      <c r="F17" s="678">
        <v>200000</v>
      </c>
      <c r="G17" s="372">
        <f>G18+G19+G20+G21+G22+G23+G24</f>
        <v>265505</v>
      </c>
      <c r="H17" s="374">
        <f t="shared" si="0"/>
        <v>65505</v>
      </c>
      <c r="I17" s="393">
        <f t="shared" si="1"/>
        <v>0.32752500000000001</v>
      </c>
      <c r="J17" s="374"/>
      <c r="K17" s="374">
        <f t="shared" si="2"/>
        <v>-249356</v>
      </c>
      <c r="L17" s="393">
        <f t="shared" si="3"/>
        <v>-0.48431712637002999</v>
      </c>
      <c r="M17" s="374"/>
    </row>
    <row r="18" spans="1:13" ht="18.75" x14ac:dyDescent="0.25">
      <c r="A18" s="377">
        <v>52100</v>
      </c>
      <c r="B18" s="378" t="s">
        <v>726</v>
      </c>
      <c r="C18" s="376"/>
      <c r="D18" s="380"/>
      <c r="E18" s="380"/>
      <c r="F18" s="380"/>
      <c r="G18" s="380"/>
      <c r="H18" s="374">
        <f t="shared" si="0"/>
        <v>0</v>
      </c>
      <c r="I18" s="393" t="str">
        <f t="shared" si="1"/>
        <v>-</v>
      </c>
      <c r="J18" s="840" t="s">
        <v>868</v>
      </c>
      <c r="K18" s="374">
        <f t="shared" si="2"/>
        <v>0</v>
      </c>
      <c r="L18" s="393" t="str">
        <f t="shared" si="3"/>
        <v>-</v>
      </c>
      <c r="M18" s="843" t="s">
        <v>869</v>
      </c>
    </row>
    <row r="19" spans="1:13" ht="34.5" x14ac:dyDescent="0.25">
      <c r="A19" s="377">
        <v>52200</v>
      </c>
      <c r="B19" s="378" t="s">
        <v>727</v>
      </c>
      <c r="C19" s="376"/>
      <c r="D19" s="380"/>
      <c r="E19" s="380"/>
      <c r="F19" s="380"/>
      <c r="G19" s="380"/>
      <c r="H19" s="374">
        <f t="shared" si="0"/>
        <v>0</v>
      </c>
      <c r="I19" s="393" t="str">
        <f t="shared" si="1"/>
        <v>-</v>
      </c>
      <c r="J19" s="841"/>
      <c r="K19" s="374">
        <f t="shared" si="2"/>
        <v>0</v>
      </c>
      <c r="L19" s="393" t="str">
        <f t="shared" si="3"/>
        <v>-</v>
      </c>
      <c r="M19" s="844"/>
    </row>
    <row r="20" spans="1:13" ht="18.75" x14ac:dyDescent="0.25">
      <c r="A20" s="377">
        <v>52300</v>
      </c>
      <c r="B20" s="378" t="s">
        <v>728</v>
      </c>
      <c r="C20" s="376"/>
      <c r="D20" s="380"/>
      <c r="E20" s="380"/>
      <c r="F20" s="380"/>
      <c r="G20" s="380"/>
      <c r="H20" s="374">
        <f t="shared" si="0"/>
        <v>0</v>
      </c>
      <c r="I20" s="393" t="str">
        <f t="shared" si="1"/>
        <v>-</v>
      </c>
      <c r="J20" s="841"/>
      <c r="K20" s="374">
        <f t="shared" si="2"/>
        <v>0</v>
      </c>
      <c r="L20" s="393" t="str">
        <f t="shared" si="3"/>
        <v>-</v>
      </c>
      <c r="M20" s="844"/>
    </row>
    <row r="21" spans="1:13" ht="18.75" x14ac:dyDescent="0.25">
      <c r="A21" s="377">
        <v>52400</v>
      </c>
      <c r="B21" s="378" t="s">
        <v>729</v>
      </c>
      <c r="C21" s="376"/>
      <c r="D21" s="380"/>
      <c r="E21" s="380"/>
      <c r="F21" s="380"/>
      <c r="G21" s="380"/>
      <c r="H21" s="374">
        <f t="shared" si="0"/>
        <v>0</v>
      </c>
      <c r="I21" s="393" t="str">
        <f t="shared" si="1"/>
        <v>-</v>
      </c>
      <c r="J21" s="841"/>
      <c r="K21" s="374">
        <f t="shared" si="2"/>
        <v>0</v>
      </c>
      <c r="L21" s="393" t="str">
        <f t="shared" si="3"/>
        <v>-</v>
      </c>
      <c r="M21" s="844"/>
    </row>
    <row r="22" spans="1:13" ht="34.5" x14ac:dyDescent="0.25">
      <c r="A22" s="377">
        <v>52500</v>
      </c>
      <c r="B22" s="378" t="s">
        <v>730</v>
      </c>
      <c r="C22" s="376"/>
      <c r="D22" s="380"/>
      <c r="E22" s="380"/>
      <c r="F22" s="380"/>
      <c r="G22" s="380"/>
      <c r="H22" s="374">
        <f t="shared" si="0"/>
        <v>0</v>
      </c>
      <c r="I22" s="393" t="str">
        <f t="shared" si="1"/>
        <v>-</v>
      </c>
      <c r="J22" s="841"/>
      <c r="K22" s="374">
        <f t="shared" si="2"/>
        <v>0</v>
      </c>
      <c r="L22" s="393" t="str">
        <f t="shared" si="3"/>
        <v>-</v>
      </c>
      <c r="M22" s="844"/>
    </row>
    <row r="23" spans="1:13" ht="31.5" x14ac:dyDescent="0.25">
      <c r="A23" s="406">
        <v>52600</v>
      </c>
      <c r="B23" s="407" t="s">
        <v>291</v>
      </c>
      <c r="C23" s="408">
        <v>514861</v>
      </c>
      <c r="D23" s="411">
        <v>200000</v>
      </c>
      <c r="E23" s="411">
        <v>0</v>
      </c>
      <c r="F23" s="411">
        <v>200000</v>
      </c>
      <c r="G23" s="411">
        <v>0</v>
      </c>
      <c r="H23" s="374">
        <f t="shared" si="0"/>
        <v>-200000</v>
      </c>
      <c r="I23" s="393">
        <f t="shared" si="1"/>
        <v>-1</v>
      </c>
      <c r="J23" s="841"/>
      <c r="K23" s="374">
        <f t="shared" si="2"/>
        <v>0</v>
      </c>
      <c r="L23" s="393" t="str">
        <f t="shared" si="3"/>
        <v>-</v>
      </c>
      <c r="M23" s="844"/>
    </row>
    <row r="24" spans="1:13" ht="48" customHeight="1" x14ac:dyDescent="0.25">
      <c r="A24" s="377">
        <v>52700</v>
      </c>
      <c r="B24" s="378" t="s">
        <v>731</v>
      </c>
      <c r="C24" s="376"/>
      <c r="D24" s="380"/>
      <c r="E24" s="380">
        <v>514861</v>
      </c>
      <c r="F24" s="380"/>
      <c r="G24" s="380">
        <v>265505</v>
      </c>
      <c r="H24" s="374">
        <f t="shared" si="0"/>
        <v>265505</v>
      </c>
      <c r="I24" s="393" t="str">
        <f t="shared" si="1"/>
        <v>-</v>
      </c>
      <c r="J24" s="842"/>
      <c r="K24" s="374">
        <f t="shared" si="2"/>
        <v>-249356</v>
      </c>
      <c r="L24" s="393">
        <f t="shared" si="3"/>
        <v>-0.48431712637002999</v>
      </c>
      <c r="M24" s="845"/>
    </row>
    <row r="25" spans="1:13" ht="31.5" x14ac:dyDescent="0.25">
      <c r="A25" s="370">
        <v>53000</v>
      </c>
      <c r="B25" s="371" t="s">
        <v>294</v>
      </c>
      <c r="C25" s="372">
        <v>776172</v>
      </c>
      <c r="D25" s="372">
        <v>1093300</v>
      </c>
      <c r="E25" s="372">
        <f>E26+E58+E60+E66</f>
        <v>776172</v>
      </c>
      <c r="F25" s="679">
        <f>F26+F58+F60+F66</f>
        <v>1093300</v>
      </c>
      <c r="G25" s="372">
        <f>G26+G58+G60+G66</f>
        <v>789906.94000000006</v>
      </c>
      <c r="H25" s="374">
        <f t="shared" si="0"/>
        <v>-303393.05999999994</v>
      </c>
      <c r="I25" s="393">
        <f t="shared" si="1"/>
        <v>-0.27750211286929471</v>
      </c>
      <c r="J25" s="374"/>
      <c r="K25" s="374">
        <f t="shared" si="2"/>
        <v>13734.940000000061</v>
      </c>
      <c r="L25" s="393">
        <f t="shared" si="3"/>
        <v>1.7695742696206589E-2</v>
      </c>
      <c r="M25" s="374"/>
    </row>
    <row r="26" spans="1:13" ht="179.25" customHeight="1" x14ac:dyDescent="0.25">
      <c r="A26" s="412">
        <v>53100</v>
      </c>
      <c r="B26" s="413" t="s">
        <v>732</v>
      </c>
      <c r="C26" s="528">
        <v>723248</v>
      </c>
      <c r="D26" s="528">
        <v>943000</v>
      </c>
      <c r="E26" s="528">
        <f>E27+E48</f>
        <v>723248</v>
      </c>
      <c r="F26" s="680">
        <f>F27+F48</f>
        <v>943000</v>
      </c>
      <c r="G26" s="528">
        <f>G27+G48</f>
        <v>713489.56</v>
      </c>
      <c r="H26" s="374">
        <f t="shared" si="0"/>
        <v>-229510.43999999994</v>
      </c>
      <c r="I26" s="393">
        <f t="shared" si="1"/>
        <v>-0.24338328738069984</v>
      </c>
      <c r="J26" s="778" t="s">
        <v>870</v>
      </c>
      <c r="K26" s="374">
        <f t="shared" si="2"/>
        <v>-9758.4399999999441</v>
      </c>
      <c r="L26" s="393">
        <f t="shared" si="3"/>
        <v>-1.3492522620179999E-2</v>
      </c>
      <c r="M26" s="825" t="s">
        <v>871</v>
      </c>
    </row>
    <row r="27" spans="1:13" ht="47.25" x14ac:dyDescent="0.25">
      <c r="A27" s="377">
        <v>53110</v>
      </c>
      <c r="B27" s="382" t="s">
        <v>296</v>
      </c>
      <c r="C27" s="376"/>
      <c r="D27" s="379">
        <v>943000</v>
      </c>
      <c r="E27" s="379">
        <v>723248</v>
      </c>
      <c r="F27" s="681">
        <f>F29+F30+F31+F32+F33+F34+F35+F36+F37+F38+F39+F40+F41+F42+F43+F44+F45+F46</f>
        <v>943000</v>
      </c>
      <c r="G27" s="379">
        <f>G29+G30+G31+G32+G33+G34+G35+G36+G37+G38+G39+G40+G41+G42+G43+G44+G45+G46+G47+G28</f>
        <v>647135.10000000009</v>
      </c>
      <c r="H27" s="374">
        <f t="shared" si="0"/>
        <v>-295864.89999999991</v>
      </c>
      <c r="I27" s="393">
        <f t="shared" si="1"/>
        <v>-0.31374856839872739</v>
      </c>
      <c r="J27" s="779"/>
      <c r="K27" s="374">
        <f t="shared" si="2"/>
        <v>-76112.899999999907</v>
      </c>
      <c r="L27" s="393">
        <f t="shared" si="3"/>
        <v>-0.10523762250293109</v>
      </c>
      <c r="M27" s="826"/>
    </row>
    <row r="28" spans="1:13" ht="47.25" x14ac:dyDescent="0.25">
      <c r="A28" s="377"/>
      <c r="B28" s="382" t="s">
        <v>872</v>
      </c>
      <c r="C28" s="376"/>
      <c r="D28" s="379"/>
      <c r="E28" s="379"/>
      <c r="F28" s="681"/>
      <c r="G28" s="682">
        <f>20924.38+5486.16</f>
        <v>26410.54</v>
      </c>
      <c r="H28" s="374"/>
      <c r="I28" s="393"/>
      <c r="J28" s="779"/>
      <c r="K28" s="374"/>
      <c r="L28" s="393"/>
      <c r="M28" s="826"/>
    </row>
    <row r="29" spans="1:13" ht="31.5" x14ac:dyDescent="0.25">
      <c r="A29" s="377"/>
      <c r="B29" s="375" t="s">
        <v>873</v>
      </c>
      <c r="C29" s="376"/>
      <c r="D29" s="381">
        <v>30000</v>
      </c>
      <c r="E29" s="381"/>
      <c r="F29" s="683">
        <v>30000</v>
      </c>
      <c r="G29" s="381">
        <f>7216+59674.27</f>
        <v>66890.26999999999</v>
      </c>
      <c r="H29" s="374">
        <f t="shared" si="0"/>
        <v>36890.26999999999</v>
      </c>
      <c r="I29" s="393">
        <f t="shared" si="1"/>
        <v>1.2296756666666664</v>
      </c>
      <c r="J29" s="779"/>
      <c r="K29" s="374">
        <f t="shared" si="2"/>
        <v>66890.26999999999</v>
      </c>
      <c r="L29" s="393" t="str">
        <f t="shared" si="3"/>
        <v>-</v>
      </c>
      <c r="M29" s="826"/>
    </row>
    <row r="30" spans="1:13" ht="31.5" x14ac:dyDescent="0.25">
      <c r="A30" s="377"/>
      <c r="B30" s="375" t="s">
        <v>747</v>
      </c>
      <c r="C30" s="376"/>
      <c r="D30" s="381">
        <v>34000</v>
      </c>
      <c r="E30" s="381"/>
      <c r="F30" s="683">
        <v>34000</v>
      </c>
      <c r="G30" s="381">
        <v>38115</v>
      </c>
      <c r="H30" s="374">
        <f t="shared" si="0"/>
        <v>4115</v>
      </c>
      <c r="I30" s="393">
        <f t="shared" si="1"/>
        <v>0.12102941176470589</v>
      </c>
      <c r="J30" s="779"/>
      <c r="K30" s="374">
        <f t="shared" si="2"/>
        <v>38115</v>
      </c>
      <c r="L30" s="393" t="str">
        <f t="shared" si="3"/>
        <v>-</v>
      </c>
      <c r="M30" s="826"/>
    </row>
    <row r="31" spans="1:13" ht="31.5" x14ac:dyDescent="0.25">
      <c r="A31" s="377"/>
      <c r="B31" s="375" t="s">
        <v>697</v>
      </c>
      <c r="C31" s="376"/>
      <c r="D31" s="381">
        <v>35000</v>
      </c>
      <c r="E31" s="381"/>
      <c r="F31" s="683">
        <v>35000</v>
      </c>
      <c r="G31" s="381"/>
      <c r="H31" s="374">
        <f t="shared" si="0"/>
        <v>-35000</v>
      </c>
      <c r="I31" s="393">
        <f t="shared" si="1"/>
        <v>-1</v>
      </c>
      <c r="J31" s="779"/>
      <c r="K31" s="374">
        <f t="shared" si="2"/>
        <v>0</v>
      </c>
      <c r="L31" s="393" t="str">
        <f t="shared" si="3"/>
        <v>-</v>
      </c>
      <c r="M31" s="826"/>
    </row>
    <row r="32" spans="1:13" ht="47.25" x14ac:dyDescent="0.25">
      <c r="A32" s="377"/>
      <c r="B32" s="383" t="s">
        <v>698</v>
      </c>
      <c r="C32" s="376"/>
      <c r="D32" s="381">
        <v>70000</v>
      </c>
      <c r="E32" s="381"/>
      <c r="F32" s="683">
        <v>70000</v>
      </c>
      <c r="G32" s="381">
        <v>60401</v>
      </c>
      <c r="H32" s="374">
        <f t="shared" si="0"/>
        <v>-9599</v>
      </c>
      <c r="I32" s="393">
        <f t="shared" si="1"/>
        <v>-0.13712857142857143</v>
      </c>
      <c r="J32" s="779"/>
      <c r="K32" s="374">
        <f t="shared" si="2"/>
        <v>60401</v>
      </c>
      <c r="L32" s="393" t="str">
        <f t="shared" si="3"/>
        <v>-</v>
      </c>
      <c r="M32" s="826"/>
    </row>
    <row r="33" spans="1:13" ht="31.5" x14ac:dyDescent="0.25">
      <c r="A33" s="377"/>
      <c r="B33" s="375" t="s">
        <v>608</v>
      </c>
      <c r="C33" s="376"/>
      <c r="D33" s="381">
        <v>25000</v>
      </c>
      <c r="E33" s="381"/>
      <c r="F33" s="683">
        <v>25000</v>
      </c>
      <c r="G33" s="381">
        <f>18783+7086</f>
        <v>25869</v>
      </c>
      <c r="H33" s="374">
        <f t="shared" si="0"/>
        <v>869</v>
      </c>
      <c r="I33" s="393">
        <f t="shared" si="1"/>
        <v>3.4759999999999999E-2</v>
      </c>
      <c r="J33" s="779"/>
      <c r="K33" s="374">
        <f t="shared" si="2"/>
        <v>25869</v>
      </c>
      <c r="L33" s="393" t="str">
        <f t="shared" si="3"/>
        <v>-</v>
      </c>
      <c r="M33" s="826"/>
    </row>
    <row r="34" spans="1:13" ht="78.75" x14ac:dyDescent="0.25">
      <c r="A34" s="377"/>
      <c r="B34" s="375" t="s">
        <v>699</v>
      </c>
      <c r="C34" s="376"/>
      <c r="D34" s="381">
        <v>67500</v>
      </c>
      <c r="E34" s="381"/>
      <c r="F34" s="683">
        <v>67500</v>
      </c>
      <c r="G34" s="381">
        <f>28178+46408-7086</f>
        <v>67500</v>
      </c>
      <c r="H34" s="374">
        <f t="shared" si="0"/>
        <v>0</v>
      </c>
      <c r="I34" s="393">
        <f t="shared" si="1"/>
        <v>0</v>
      </c>
      <c r="J34" s="779"/>
      <c r="K34" s="374">
        <f t="shared" si="2"/>
        <v>67500</v>
      </c>
      <c r="L34" s="393" t="str">
        <f t="shared" si="3"/>
        <v>-</v>
      </c>
      <c r="M34" s="826"/>
    </row>
    <row r="35" spans="1:13" ht="63" x14ac:dyDescent="0.25">
      <c r="A35" s="377"/>
      <c r="B35" s="375" t="s">
        <v>700</v>
      </c>
      <c r="C35" s="376"/>
      <c r="D35" s="381">
        <v>43000</v>
      </c>
      <c r="E35" s="381"/>
      <c r="F35" s="683">
        <v>43000</v>
      </c>
      <c r="G35" s="381">
        <v>11589</v>
      </c>
      <c r="H35" s="374">
        <f t="shared" si="0"/>
        <v>-31411</v>
      </c>
      <c r="I35" s="393">
        <f t="shared" si="1"/>
        <v>-0.73048837209302331</v>
      </c>
      <c r="J35" s="419"/>
      <c r="K35" s="374">
        <f t="shared" si="2"/>
        <v>11589</v>
      </c>
      <c r="L35" s="393" t="str">
        <f t="shared" si="3"/>
        <v>-</v>
      </c>
      <c r="M35" s="420"/>
    </row>
    <row r="36" spans="1:13" ht="47.25" x14ac:dyDescent="0.25">
      <c r="A36" s="377"/>
      <c r="B36" s="383" t="s">
        <v>701</v>
      </c>
      <c r="C36" s="376"/>
      <c r="D36" s="381">
        <v>35000</v>
      </c>
      <c r="E36" s="381"/>
      <c r="F36" s="683">
        <v>35000</v>
      </c>
      <c r="G36" s="381">
        <v>50805</v>
      </c>
      <c r="H36" s="374">
        <f t="shared" si="0"/>
        <v>15805</v>
      </c>
      <c r="I36" s="393">
        <f t="shared" si="1"/>
        <v>0.45157142857142857</v>
      </c>
      <c r="J36" s="419"/>
      <c r="K36" s="374">
        <f t="shared" si="2"/>
        <v>50805</v>
      </c>
      <c r="L36" s="393" t="str">
        <f t="shared" si="3"/>
        <v>-</v>
      </c>
      <c r="M36" s="420"/>
    </row>
    <row r="37" spans="1:13" ht="47.25" x14ac:dyDescent="0.25">
      <c r="A37" s="377"/>
      <c r="B37" s="375" t="s">
        <v>702</v>
      </c>
      <c r="C37" s="376"/>
      <c r="D37" s="381">
        <v>52500</v>
      </c>
      <c r="E37" s="381"/>
      <c r="F37" s="683">
        <v>52500</v>
      </c>
      <c r="G37" s="381">
        <f>37047+27888.54</f>
        <v>64935.54</v>
      </c>
      <c r="H37" s="374">
        <f t="shared" si="0"/>
        <v>12435.54</v>
      </c>
      <c r="I37" s="393">
        <f t="shared" si="1"/>
        <v>0.23686742857142859</v>
      </c>
      <c r="J37" s="419"/>
      <c r="K37" s="374">
        <f t="shared" si="2"/>
        <v>64935.54</v>
      </c>
      <c r="L37" s="393" t="str">
        <f t="shared" si="3"/>
        <v>-</v>
      </c>
      <c r="M37" s="420"/>
    </row>
    <row r="38" spans="1:13" ht="47.25" x14ac:dyDescent="0.25">
      <c r="A38" s="377"/>
      <c r="B38" s="375" t="s">
        <v>663</v>
      </c>
      <c r="C38" s="376"/>
      <c r="D38" s="381">
        <v>21000</v>
      </c>
      <c r="E38" s="381"/>
      <c r="F38" s="683">
        <v>21000</v>
      </c>
      <c r="G38" s="381">
        <v>25652</v>
      </c>
      <c r="H38" s="374">
        <f t="shared" si="0"/>
        <v>4652</v>
      </c>
      <c r="I38" s="393">
        <f t="shared" si="1"/>
        <v>0.22152380952380951</v>
      </c>
      <c r="J38" s="419"/>
      <c r="K38" s="374">
        <f t="shared" si="2"/>
        <v>25652</v>
      </c>
      <c r="L38" s="393" t="str">
        <f t="shared" si="3"/>
        <v>-</v>
      </c>
      <c r="M38" s="420"/>
    </row>
    <row r="39" spans="1:13" ht="31.5" x14ac:dyDescent="0.25">
      <c r="A39" s="377"/>
      <c r="B39" s="375" t="s">
        <v>703</v>
      </c>
      <c r="C39" s="376"/>
      <c r="D39" s="381">
        <v>100000</v>
      </c>
      <c r="E39" s="381"/>
      <c r="F39" s="683">
        <v>100000</v>
      </c>
      <c r="G39" s="381">
        <v>20366.75</v>
      </c>
      <c r="H39" s="374">
        <f t="shared" si="0"/>
        <v>-79633.25</v>
      </c>
      <c r="I39" s="393">
        <f t="shared" si="1"/>
        <v>-0.7963325</v>
      </c>
      <c r="J39" s="419"/>
      <c r="K39" s="374">
        <f t="shared" si="2"/>
        <v>20366.75</v>
      </c>
      <c r="L39" s="393" t="str">
        <f t="shared" si="3"/>
        <v>-</v>
      </c>
      <c r="M39" s="420"/>
    </row>
    <row r="40" spans="1:13" ht="31.5" x14ac:dyDescent="0.25">
      <c r="A40" s="377"/>
      <c r="B40" s="375" t="s">
        <v>704</v>
      </c>
      <c r="C40" s="376"/>
      <c r="D40" s="381">
        <v>12000</v>
      </c>
      <c r="E40" s="381"/>
      <c r="F40" s="683">
        <v>12000</v>
      </c>
      <c r="G40" s="381">
        <v>6351</v>
      </c>
      <c r="H40" s="374">
        <f t="shared" si="0"/>
        <v>-5649</v>
      </c>
      <c r="I40" s="393">
        <f t="shared" si="1"/>
        <v>-0.47075</v>
      </c>
      <c r="J40" s="419"/>
      <c r="K40" s="374">
        <f t="shared" si="2"/>
        <v>6351</v>
      </c>
      <c r="L40" s="393" t="str">
        <f t="shared" si="3"/>
        <v>-</v>
      </c>
      <c r="M40" s="420"/>
    </row>
    <row r="41" spans="1:13" ht="31.5" x14ac:dyDescent="0.25">
      <c r="A41" s="377"/>
      <c r="B41" s="375" t="s">
        <v>705</v>
      </c>
      <c r="C41" s="376"/>
      <c r="D41" s="381">
        <v>10000</v>
      </c>
      <c r="E41" s="381"/>
      <c r="F41" s="683">
        <v>10000</v>
      </c>
      <c r="G41" s="381">
        <v>10043</v>
      </c>
      <c r="H41" s="374">
        <f t="shared" si="0"/>
        <v>43</v>
      </c>
      <c r="I41" s="393">
        <f t="shared" si="1"/>
        <v>4.3E-3</v>
      </c>
      <c r="J41" s="419"/>
      <c r="K41" s="374">
        <f t="shared" si="2"/>
        <v>10043</v>
      </c>
      <c r="L41" s="393" t="str">
        <f t="shared" si="3"/>
        <v>-</v>
      </c>
      <c r="M41" s="420"/>
    </row>
    <row r="42" spans="1:13" ht="78.75" x14ac:dyDescent="0.25">
      <c r="A42" s="377"/>
      <c r="B42" s="375" t="s">
        <v>706</v>
      </c>
      <c r="C42" s="376"/>
      <c r="D42" s="381">
        <v>190000</v>
      </c>
      <c r="E42" s="381"/>
      <c r="F42" s="683">
        <v>190000</v>
      </c>
      <c r="G42" s="381">
        <f>35378+10988</f>
        <v>46366</v>
      </c>
      <c r="H42" s="374">
        <f t="shared" si="0"/>
        <v>-143634</v>
      </c>
      <c r="I42" s="393">
        <f t="shared" si="1"/>
        <v>-0.75596842105263162</v>
      </c>
      <c r="J42" s="419"/>
      <c r="K42" s="374">
        <f t="shared" si="2"/>
        <v>46366</v>
      </c>
      <c r="L42" s="393" t="str">
        <f t="shared" si="3"/>
        <v>-</v>
      </c>
      <c r="M42" s="420"/>
    </row>
    <row r="43" spans="1:13" ht="31.5" x14ac:dyDescent="0.25">
      <c r="A43" s="377"/>
      <c r="B43" s="375" t="s">
        <v>874</v>
      </c>
      <c r="C43" s="376"/>
      <c r="D43" s="381">
        <v>82000</v>
      </c>
      <c r="E43" s="381"/>
      <c r="F43" s="683">
        <v>82000</v>
      </c>
      <c r="G43" s="381">
        <v>31097</v>
      </c>
      <c r="H43" s="374">
        <f t="shared" si="0"/>
        <v>-50903</v>
      </c>
      <c r="I43" s="393">
        <f t="shared" si="1"/>
        <v>-0.62076829268292688</v>
      </c>
      <c r="J43" s="419"/>
      <c r="K43" s="374">
        <f t="shared" si="2"/>
        <v>31097</v>
      </c>
      <c r="L43" s="393" t="str">
        <f t="shared" si="3"/>
        <v>-</v>
      </c>
      <c r="M43" s="420"/>
    </row>
    <row r="44" spans="1:13" ht="31.5" x14ac:dyDescent="0.25">
      <c r="A44" s="377"/>
      <c r="B44" s="375" t="s">
        <v>707</v>
      </c>
      <c r="C44" s="376"/>
      <c r="D44" s="381">
        <v>42000</v>
      </c>
      <c r="E44" s="381"/>
      <c r="F44" s="683">
        <v>42000</v>
      </c>
      <c r="G44" s="381"/>
      <c r="H44" s="374">
        <f t="shared" si="0"/>
        <v>-42000</v>
      </c>
      <c r="I44" s="393">
        <f t="shared" si="1"/>
        <v>-1</v>
      </c>
      <c r="J44" s="419"/>
      <c r="K44" s="374">
        <f t="shared" si="2"/>
        <v>0</v>
      </c>
      <c r="L44" s="393" t="str">
        <f t="shared" si="3"/>
        <v>-</v>
      </c>
      <c r="M44" s="420"/>
    </row>
    <row r="45" spans="1:13" ht="47.25" x14ac:dyDescent="0.25">
      <c r="A45" s="377"/>
      <c r="B45" s="383" t="s">
        <v>708</v>
      </c>
      <c r="C45" s="376"/>
      <c r="D45" s="381">
        <v>70000</v>
      </c>
      <c r="E45" s="381"/>
      <c r="F45" s="683">
        <v>70000</v>
      </c>
      <c r="G45" s="381">
        <v>45073</v>
      </c>
      <c r="H45" s="374">
        <f t="shared" si="0"/>
        <v>-24927</v>
      </c>
      <c r="I45" s="393">
        <f t="shared" si="1"/>
        <v>-0.35610000000000003</v>
      </c>
      <c r="J45" s="419"/>
      <c r="K45" s="374">
        <f t="shared" si="2"/>
        <v>45073</v>
      </c>
      <c r="L45" s="393" t="str">
        <f t="shared" si="3"/>
        <v>-</v>
      </c>
      <c r="M45" s="420"/>
    </row>
    <row r="46" spans="1:13" ht="47.25" x14ac:dyDescent="0.25">
      <c r="A46" s="377"/>
      <c r="B46" s="383" t="s">
        <v>709</v>
      </c>
      <c r="C46" s="376"/>
      <c r="D46" s="381">
        <v>24000</v>
      </c>
      <c r="E46" s="381"/>
      <c r="F46" s="683">
        <v>24000</v>
      </c>
      <c r="G46" s="381">
        <v>30855</v>
      </c>
      <c r="H46" s="374">
        <f t="shared" si="0"/>
        <v>6855</v>
      </c>
      <c r="I46" s="393">
        <f t="shared" si="1"/>
        <v>0.28562500000000002</v>
      </c>
      <c r="J46" s="419"/>
      <c r="K46" s="374">
        <f t="shared" si="2"/>
        <v>30855</v>
      </c>
      <c r="L46" s="393" t="str">
        <f t="shared" si="3"/>
        <v>-</v>
      </c>
      <c r="M46" s="420"/>
    </row>
    <row r="47" spans="1:13" ht="15.75" x14ac:dyDescent="0.25">
      <c r="A47" s="377"/>
      <c r="B47" s="414" t="s">
        <v>748</v>
      </c>
      <c r="C47" s="376"/>
      <c r="D47" s="380"/>
      <c r="E47" s="380"/>
      <c r="F47" s="683"/>
      <c r="G47" s="380">
        <v>18816</v>
      </c>
      <c r="H47" s="374">
        <f t="shared" si="0"/>
        <v>18816</v>
      </c>
      <c r="I47" s="393" t="str">
        <f t="shared" si="1"/>
        <v>-</v>
      </c>
      <c r="J47" s="419"/>
      <c r="K47" s="374">
        <f t="shared" si="2"/>
        <v>18816</v>
      </c>
      <c r="L47" s="393" t="str">
        <f t="shared" si="3"/>
        <v>-</v>
      </c>
      <c r="M47" s="420"/>
    </row>
    <row r="48" spans="1:13" ht="47.25" x14ac:dyDescent="0.25">
      <c r="A48" s="377">
        <v>53120</v>
      </c>
      <c r="B48" s="384" t="s">
        <v>297</v>
      </c>
      <c r="C48" s="376">
        <v>0</v>
      </c>
      <c r="D48" s="376">
        <v>0</v>
      </c>
      <c r="E48" s="376">
        <v>0</v>
      </c>
      <c r="F48" s="376">
        <v>0</v>
      </c>
      <c r="G48" s="684">
        <f>G49+G50+G51+G52+G53+G54+G55+G56+G57</f>
        <v>66354.460000000021</v>
      </c>
      <c r="H48" s="374">
        <f t="shared" si="0"/>
        <v>66354.460000000021</v>
      </c>
      <c r="I48" s="393" t="str">
        <f t="shared" si="1"/>
        <v>-</v>
      </c>
      <c r="J48" s="419"/>
      <c r="K48" s="374">
        <f t="shared" si="2"/>
        <v>66354.460000000021</v>
      </c>
      <c r="L48" s="393" t="str">
        <f t="shared" si="3"/>
        <v>-</v>
      </c>
      <c r="M48" s="420"/>
    </row>
    <row r="49" spans="1:13" ht="31.5" x14ac:dyDescent="0.25">
      <c r="A49" s="377"/>
      <c r="B49" s="384" t="s">
        <v>875</v>
      </c>
      <c r="C49" s="376"/>
      <c r="D49" s="376"/>
      <c r="E49" s="376"/>
      <c r="F49" s="376"/>
      <c r="G49" s="684">
        <v>4219.8100000000004</v>
      </c>
      <c r="H49" s="374"/>
      <c r="I49" s="393"/>
      <c r="J49" s="419"/>
      <c r="K49" s="374"/>
      <c r="L49" s="393"/>
      <c r="M49" s="420"/>
    </row>
    <row r="50" spans="1:13" ht="47.25" x14ac:dyDescent="0.25">
      <c r="A50" s="377"/>
      <c r="B50" s="384" t="s">
        <v>876</v>
      </c>
      <c r="C50" s="376"/>
      <c r="D50" s="376"/>
      <c r="E50" s="376"/>
      <c r="F50" s="376"/>
      <c r="G50" s="684">
        <v>25727.7</v>
      </c>
      <c r="H50" s="374"/>
      <c r="I50" s="393"/>
      <c r="J50" s="419"/>
      <c r="K50" s="374"/>
      <c r="L50" s="393"/>
      <c r="M50" s="420"/>
    </row>
    <row r="51" spans="1:13" ht="47.25" x14ac:dyDescent="0.25">
      <c r="A51" s="377"/>
      <c r="B51" s="384" t="s">
        <v>876</v>
      </c>
      <c r="C51" s="376"/>
      <c r="D51" s="376"/>
      <c r="E51" s="376"/>
      <c r="F51" s="376"/>
      <c r="G51" s="684">
        <v>16008.23</v>
      </c>
      <c r="H51" s="374"/>
      <c r="I51" s="393"/>
      <c r="J51" s="419"/>
      <c r="K51" s="374"/>
      <c r="L51" s="393"/>
      <c r="M51" s="420"/>
    </row>
    <row r="52" spans="1:13" ht="47.25" x14ac:dyDescent="0.25">
      <c r="A52" s="377"/>
      <c r="B52" s="384" t="s">
        <v>876</v>
      </c>
      <c r="C52" s="376"/>
      <c r="D52" s="376"/>
      <c r="E52" s="376"/>
      <c r="F52" s="376"/>
      <c r="G52" s="684">
        <v>5200.0200000000004</v>
      </c>
      <c r="H52" s="374"/>
      <c r="I52" s="393"/>
      <c r="J52" s="419"/>
      <c r="K52" s="374"/>
      <c r="L52" s="393"/>
      <c r="M52" s="420"/>
    </row>
    <row r="53" spans="1:13" ht="47.25" x14ac:dyDescent="0.25">
      <c r="A53" s="377"/>
      <c r="B53" s="384" t="s">
        <v>877</v>
      </c>
      <c r="C53" s="376"/>
      <c r="D53" s="376"/>
      <c r="E53" s="376"/>
      <c r="F53" s="376"/>
      <c r="G53" s="684">
        <v>6289.02</v>
      </c>
      <c r="H53" s="374"/>
      <c r="I53" s="393"/>
      <c r="J53" s="419"/>
      <c r="K53" s="374"/>
      <c r="L53" s="393"/>
      <c r="M53" s="420"/>
    </row>
    <row r="54" spans="1:13" ht="63" x14ac:dyDescent="0.25">
      <c r="A54" s="377"/>
      <c r="B54" s="384" t="s">
        <v>878</v>
      </c>
      <c r="C54" s="376"/>
      <c r="D54" s="376"/>
      <c r="E54" s="376"/>
      <c r="F54" s="376"/>
      <c r="G54" s="684">
        <v>1879.58</v>
      </c>
      <c r="H54" s="374"/>
      <c r="I54" s="393"/>
      <c r="J54" s="419"/>
      <c r="K54" s="374"/>
      <c r="L54" s="393"/>
      <c r="M54" s="420"/>
    </row>
    <row r="55" spans="1:13" ht="78.75" x14ac:dyDescent="0.25">
      <c r="A55" s="377"/>
      <c r="B55" s="384" t="s">
        <v>879</v>
      </c>
      <c r="C55" s="376"/>
      <c r="D55" s="376"/>
      <c r="E55" s="376"/>
      <c r="F55" s="376"/>
      <c r="G55" s="684">
        <v>2577.3000000000002</v>
      </c>
      <c r="H55" s="374"/>
      <c r="I55" s="393"/>
      <c r="J55" s="419"/>
      <c r="K55" s="374"/>
      <c r="L55" s="393"/>
      <c r="M55" s="420"/>
    </row>
    <row r="56" spans="1:13" ht="78.75" x14ac:dyDescent="0.25">
      <c r="A56" s="377"/>
      <c r="B56" s="384" t="s">
        <v>880</v>
      </c>
      <c r="C56" s="376"/>
      <c r="D56" s="376"/>
      <c r="E56" s="376"/>
      <c r="F56" s="376"/>
      <c r="G56" s="684">
        <v>3363.8</v>
      </c>
      <c r="H56" s="374"/>
      <c r="I56" s="393"/>
      <c r="J56" s="419"/>
      <c r="K56" s="374"/>
      <c r="L56" s="393"/>
      <c r="M56" s="420"/>
    </row>
    <row r="57" spans="1:13" ht="78.75" x14ac:dyDescent="0.25">
      <c r="A57" s="377"/>
      <c r="B57" s="384" t="s">
        <v>881</v>
      </c>
      <c r="C57" s="376"/>
      <c r="D57" s="376"/>
      <c r="E57" s="376"/>
      <c r="F57" s="376"/>
      <c r="G57" s="684">
        <v>1089</v>
      </c>
      <c r="H57" s="374"/>
      <c r="I57" s="393"/>
      <c r="J57" s="419"/>
      <c r="K57" s="374"/>
      <c r="L57" s="393"/>
      <c r="M57" s="422"/>
    </row>
    <row r="58" spans="1:13" ht="34.5" x14ac:dyDescent="0.25">
      <c r="A58" s="406">
        <v>53200</v>
      </c>
      <c r="B58" s="407" t="s">
        <v>733</v>
      </c>
      <c r="C58" s="529">
        <v>0</v>
      </c>
      <c r="D58" s="529">
        <v>0</v>
      </c>
      <c r="E58" s="529">
        <v>0</v>
      </c>
      <c r="F58" s="529">
        <v>0</v>
      </c>
      <c r="G58" s="529">
        <v>0</v>
      </c>
      <c r="H58" s="374">
        <f t="shared" si="0"/>
        <v>0</v>
      </c>
      <c r="I58" s="393" t="str">
        <f t="shared" si="1"/>
        <v>-</v>
      </c>
      <c r="J58" s="419"/>
      <c r="K58" s="374">
        <f t="shared" si="2"/>
        <v>0</v>
      </c>
      <c r="L58" s="393" t="str">
        <f t="shared" si="3"/>
        <v>-</v>
      </c>
      <c r="M58" s="830"/>
    </row>
    <row r="59" spans="1:13" ht="15.75" x14ac:dyDescent="0.25">
      <c r="A59" s="377"/>
      <c r="B59" s="378"/>
      <c r="C59" s="376"/>
      <c r="D59" s="380"/>
      <c r="E59" s="380"/>
      <c r="F59" s="380"/>
      <c r="G59" s="380"/>
      <c r="H59" s="374">
        <f t="shared" si="0"/>
        <v>0</v>
      </c>
      <c r="I59" s="393" t="str">
        <f t="shared" si="1"/>
        <v>-</v>
      </c>
      <c r="J59" s="419"/>
      <c r="K59" s="374">
        <f t="shared" si="2"/>
        <v>0</v>
      </c>
      <c r="L59" s="393" t="str">
        <f t="shared" si="3"/>
        <v>-</v>
      </c>
      <c r="M59" s="831"/>
    </row>
    <row r="60" spans="1:13" ht="34.5" x14ac:dyDescent="0.25">
      <c r="A60" s="406">
        <v>53300</v>
      </c>
      <c r="B60" s="407" t="s">
        <v>734</v>
      </c>
      <c r="C60" s="528">
        <v>8017</v>
      </c>
      <c r="D60" s="528">
        <v>111000</v>
      </c>
      <c r="E60" s="528">
        <v>8017</v>
      </c>
      <c r="F60" s="528">
        <v>111000</v>
      </c>
      <c r="G60" s="528">
        <f>G62+G63+G65+G64+G61</f>
        <v>62780.47</v>
      </c>
      <c r="H60" s="374">
        <f t="shared" si="0"/>
        <v>-48219.53</v>
      </c>
      <c r="I60" s="393">
        <f t="shared" si="1"/>
        <v>-0.43441018018018018</v>
      </c>
      <c r="J60" s="419"/>
      <c r="K60" s="374">
        <f t="shared" si="2"/>
        <v>54763.47</v>
      </c>
      <c r="L60" s="393">
        <f t="shared" si="3"/>
        <v>6.8309180491455654</v>
      </c>
      <c r="M60" s="831"/>
    </row>
    <row r="61" spans="1:13" ht="15.75" x14ac:dyDescent="0.25">
      <c r="A61" s="406"/>
      <c r="B61" s="407" t="s">
        <v>882</v>
      </c>
      <c r="C61" s="528"/>
      <c r="D61" s="528"/>
      <c r="E61" s="528"/>
      <c r="F61" s="528"/>
      <c r="G61" s="682">
        <v>5749.27</v>
      </c>
      <c r="H61" s="374"/>
      <c r="I61" s="393"/>
      <c r="J61" s="419"/>
      <c r="K61" s="374"/>
      <c r="L61" s="393"/>
      <c r="M61" s="831"/>
    </row>
    <row r="62" spans="1:13" ht="31.5" x14ac:dyDescent="0.25">
      <c r="A62" s="377"/>
      <c r="B62" s="378" t="s">
        <v>749</v>
      </c>
      <c r="C62" s="379"/>
      <c r="D62" s="379"/>
      <c r="E62" s="379"/>
      <c r="F62" s="379">
        <v>0</v>
      </c>
      <c r="G62" s="379">
        <v>8759</v>
      </c>
      <c r="H62" s="374"/>
      <c r="I62" s="393"/>
      <c r="J62" s="419"/>
      <c r="K62" s="374"/>
      <c r="L62" s="393"/>
      <c r="M62" s="831"/>
    </row>
    <row r="63" spans="1:13" ht="31.5" x14ac:dyDescent="0.25">
      <c r="A63" s="377"/>
      <c r="B63" s="375" t="s">
        <v>710</v>
      </c>
      <c r="C63" s="376"/>
      <c r="D63" s="381">
        <v>41000</v>
      </c>
      <c r="E63" s="381"/>
      <c r="F63" s="381">
        <v>41000</v>
      </c>
      <c r="G63" s="381">
        <f>3640+25644</f>
        <v>29284</v>
      </c>
      <c r="H63" s="374">
        <f t="shared" si="0"/>
        <v>-11716</v>
      </c>
      <c r="I63" s="393">
        <f t="shared" si="1"/>
        <v>-0.28575609756097559</v>
      </c>
      <c r="J63" s="419"/>
      <c r="K63" s="374">
        <f t="shared" si="2"/>
        <v>29284</v>
      </c>
      <c r="L63" s="393" t="str">
        <f t="shared" si="3"/>
        <v>-</v>
      </c>
      <c r="M63" s="831"/>
    </row>
    <row r="64" spans="1:13" ht="31.5" x14ac:dyDescent="0.25">
      <c r="A64" s="377"/>
      <c r="B64" s="375" t="s">
        <v>883</v>
      </c>
      <c r="C64" s="376"/>
      <c r="D64" s="381"/>
      <c r="E64" s="381"/>
      <c r="F64" s="381"/>
      <c r="G64" s="381">
        <v>1960.2</v>
      </c>
      <c r="H64" s="374"/>
      <c r="I64" s="393"/>
      <c r="J64" s="419"/>
      <c r="K64" s="374"/>
      <c r="L64" s="393"/>
      <c r="M64" s="831"/>
    </row>
    <row r="65" spans="1:13" ht="15.75" x14ac:dyDescent="0.25">
      <c r="A65" s="377"/>
      <c r="B65" s="375" t="s">
        <v>711</v>
      </c>
      <c r="C65" s="376"/>
      <c r="D65" s="381">
        <v>70000</v>
      </c>
      <c r="E65" s="381"/>
      <c r="F65" s="381">
        <v>70000</v>
      </c>
      <c r="G65" s="381">
        <f>3766+2055+11207</f>
        <v>17028</v>
      </c>
      <c r="H65" s="374">
        <f t="shared" si="0"/>
        <v>-52972</v>
      </c>
      <c r="I65" s="393">
        <f t="shared" si="1"/>
        <v>-0.75674285714285716</v>
      </c>
      <c r="J65" s="419"/>
      <c r="K65" s="374">
        <f t="shared" si="2"/>
        <v>17028</v>
      </c>
      <c r="L65" s="393" t="str">
        <f t="shared" si="3"/>
        <v>-</v>
      </c>
      <c r="M65" s="831"/>
    </row>
    <row r="66" spans="1:13" ht="50.25" x14ac:dyDescent="0.25">
      <c r="A66" s="406">
        <v>53400</v>
      </c>
      <c r="B66" s="407" t="s">
        <v>735</v>
      </c>
      <c r="C66" s="528">
        <v>44907</v>
      </c>
      <c r="D66" s="528">
        <v>39300</v>
      </c>
      <c r="E66" s="528">
        <v>44907</v>
      </c>
      <c r="F66" s="685">
        <f>F67+F68+F69+F70+F71+F72+F73+F74+F75+F76+F77+F79</f>
        <v>39300</v>
      </c>
      <c r="G66" s="528">
        <f>G67+G68+G69+G70+G71+G72+G73+G74+G75+G76+G78+G79</f>
        <v>13636.91</v>
      </c>
      <c r="H66" s="374">
        <f t="shared" si="0"/>
        <v>-25663.09</v>
      </c>
      <c r="I66" s="393">
        <f t="shared" si="1"/>
        <v>-0.65300483460559799</v>
      </c>
      <c r="J66" s="419"/>
      <c r="K66" s="374">
        <f t="shared" si="2"/>
        <v>-31270.09</v>
      </c>
      <c r="L66" s="393">
        <f t="shared" si="3"/>
        <v>-0.69632997082860137</v>
      </c>
      <c r="M66" s="831"/>
    </row>
    <row r="67" spans="1:13" ht="47.25" x14ac:dyDescent="0.25">
      <c r="A67" s="415"/>
      <c r="B67" s="383" t="s">
        <v>712</v>
      </c>
      <c r="C67" s="376"/>
      <c r="D67" s="381">
        <v>2200</v>
      </c>
      <c r="E67" s="381"/>
      <c r="F67" s="380">
        <v>2200</v>
      </c>
      <c r="G67" s="381">
        <v>908</v>
      </c>
      <c r="H67" s="374">
        <f t="shared" si="0"/>
        <v>-1292</v>
      </c>
      <c r="I67" s="393">
        <f t="shared" si="1"/>
        <v>-0.58727272727272728</v>
      </c>
      <c r="J67" s="419"/>
      <c r="K67" s="374">
        <f t="shared" si="2"/>
        <v>908</v>
      </c>
      <c r="L67" s="393" t="str">
        <f t="shared" si="3"/>
        <v>-</v>
      </c>
      <c r="M67" s="831"/>
    </row>
    <row r="68" spans="1:13" ht="47.25" x14ac:dyDescent="0.25">
      <c r="A68" s="415"/>
      <c r="B68" s="383" t="s">
        <v>713</v>
      </c>
      <c r="C68" s="376"/>
      <c r="D68" s="381">
        <v>4500</v>
      </c>
      <c r="E68" s="381"/>
      <c r="F68" s="380">
        <v>4500</v>
      </c>
      <c r="G68" s="381"/>
      <c r="H68" s="374">
        <f t="shared" si="0"/>
        <v>-4500</v>
      </c>
      <c r="I68" s="393">
        <f t="shared" si="1"/>
        <v>-1</v>
      </c>
      <c r="J68" s="419"/>
      <c r="K68" s="374">
        <f t="shared" si="2"/>
        <v>0</v>
      </c>
      <c r="L68" s="393" t="str">
        <f t="shared" si="3"/>
        <v>-</v>
      </c>
      <c r="M68" s="831"/>
    </row>
    <row r="69" spans="1:13" ht="31.5" x14ac:dyDescent="0.25">
      <c r="A69" s="415"/>
      <c r="B69" s="383" t="s">
        <v>714</v>
      </c>
      <c r="C69" s="376"/>
      <c r="D69" s="381">
        <v>2400</v>
      </c>
      <c r="E69" s="381"/>
      <c r="F69" s="381">
        <v>2400</v>
      </c>
      <c r="G69" s="381"/>
      <c r="H69" s="374">
        <f t="shared" si="0"/>
        <v>-2400</v>
      </c>
      <c r="I69" s="393">
        <f>IFERROR(H69/ABS(F69), "-")</f>
        <v>-1</v>
      </c>
      <c r="J69" s="419"/>
      <c r="K69" s="374">
        <f t="shared" si="2"/>
        <v>0</v>
      </c>
      <c r="L69" s="393" t="str">
        <f t="shared" si="3"/>
        <v>-</v>
      </c>
      <c r="M69" s="831"/>
    </row>
    <row r="70" spans="1:13" ht="31.5" x14ac:dyDescent="0.25">
      <c r="A70" s="415"/>
      <c r="B70" s="383" t="s">
        <v>715</v>
      </c>
      <c r="C70" s="376"/>
      <c r="D70" s="381">
        <v>2800</v>
      </c>
      <c r="E70" s="381"/>
      <c r="F70" s="381">
        <v>2800</v>
      </c>
      <c r="G70" s="381"/>
      <c r="H70" s="374">
        <f t="shared" si="0"/>
        <v>-2800</v>
      </c>
      <c r="I70" s="393">
        <f t="shared" si="1"/>
        <v>-1</v>
      </c>
      <c r="J70" s="419"/>
      <c r="K70" s="374">
        <f t="shared" si="2"/>
        <v>0</v>
      </c>
      <c r="L70" s="393" t="str">
        <f t="shared" si="3"/>
        <v>-</v>
      </c>
      <c r="M70" s="831"/>
    </row>
    <row r="71" spans="1:13" ht="31.5" x14ac:dyDescent="0.25">
      <c r="A71" s="415"/>
      <c r="B71" s="383" t="s">
        <v>716</v>
      </c>
      <c r="C71" s="376"/>
      <c r="D71" s="381">
        <v>1700</v>
      </c>
      <c r="E71" s="381"/>
      <c r="F71" s="381">
        <v>1700</v>
      </c>
      <c r="G71" s="381"/>
      <c r="H71" s="374">
        <f t="shared" si="0"/>
        <v>-1700</v>
      </c>
      <c r="I71" s="393">
        <f t="shared" si="1"/>
        <v>-1</v>
      </c>
      <c r="J71" s="419"/>
      <c r="K71" s="374">
        <f t="shared" si="2"/>
        <v>0</v>
      </c>
      <c r="L71" s="393" t="str">
        <f t="shared" si="3"/>
        <v>-</v>
      </c>
      <c r="M71" s="831"/>
    </row>
    <row r="72" spans="1:13" ht="15.75" x14ac:dyDescent="0.25">
      <c r="A72" s="415"/>
      <c r="B72" s="383" t="s">
        <v>664</v>
      </c>
      <c r="C72" s="376"/>
      <c r="D72" s="381">
        <v>2850</v>
      </c>
      <c r="E72" s="381"/>
      <c r="F72" s="381">
        <v>2850</v>
      </c>
      <c r="G72" s="381"/>
      <c r="H72" s="374">
        <f t="shared" si="0"/>
        <v>-2850</v>
      </c>
      <c r="I72" s="393">
        <f t="shared" si="1"/>
        <v>-1</v>
      </c>
      <c r="J72" s="419"/>
      <c r="K72" s="374">
        <f t="shared" si="2"/>
        <v>0</v>
      </c>
      <c r="L72" s="393" t="str">
        <f t="shared" si="3"/>
        <v>-</v>
      </c>
      <c r="M72" s="831"/>
    </row>
    <row r="73" spans="1:13" ht="15.75" x14ac:dyDescent="0.25">
      <c r="A73" s="415"/>
      <c r="B73" s="383" t="s">
        <v>717</v>
      </c>
      <c r="C73" s="376"/>
      <c r="D73" s="381">
        <v>5700</v>
      </c>
      <c r="E73" s="381"/>
      <c r="F73" s="381">
        <v>5700</v>
      </c>
      <c r="G73" s="381">
        <f>2541+4499</f>
        <v>7040</v>
      </c>
      <c r="H73" s="374">
        <f t="shared" si="0"/>
        <v>1340</v>
      </c>
      <c r="I73" s="393">
        <f t="shared" si="1"/>
        <v>0.23508771929824562</v>
      </c>
      <c r="J73" s="419"/>
      <c r="K73" s="374">
        <f t="shared" si="2"/>
        <v>7040</v>
      </c>
      <c r="L73" s="393" t="str">
        <f t="shared" si="3"/>
        <v>-</v>
      </c>
      <c r="M73" s="831"/>
    </row>
    <row r="74" spans="1:13" ht="31.5" x14ac:dyDescent="0.25">
      <c r="A74" s="415"/>
      <c r="B74" s="383" t="s">
        <v>718</v>
      </c>
      <c r="C74" s="376"/>
      <c r="D74" s="381">
        <v>1500</v>
      </c>
      <c r="E74" s="381"/>
      <c r="F74" s="381">
        <v>1500</v>
      </c>
      <c r="G74" s="381">
        <v>1812.5</v>
      </c>
      <c r="H74" s="374">
        <f t="shared" si="0"/>
        <v>312.5</v>
      </c>
      <c r="I74" s="393">
        <f t="shared" si="1"/>
        <v>0.20833333333333334</v>
      </c>
      <c r="J74" s="419"/>
      <c r="K74" s="374">
        <f t="shared" si="2"/>
        <v>1812.5</v>
      </c>
      <c r="L74" s="393" t="str">
        <f t="shared" si="3"/>
        <v>-</v>
      </c>
      <c r="M74" s="831"/>
    </row>
    <row r="75" spans="1:13" ht="15.75" x14ac:dyDescent="0.25">
      <c r="A75" s="415"/>
      <c r="B75" s="383" t="s">
        <v>665</v>
      </c>
      <c r="C75" s="376"/>
      <c r="D75" s="381">
        <v>4800</v>
      </c>
      <c r="E75" s="381"/>
      <c r="F75" s="381">
        <v>4800</v>
      </c>
      <c r="G75" s="381">
        <f>1309+761</f>
        <v>2070</v>
      </c>
      <c r="H75" s="374">
        <f t="shared" si="0"/>
        <v>-2730</v>
      </c>
      <c r="I75" s="393">
        <f t="shared" si="1"/>
        <v>-0.56874999999999998</v>
      </c>
      <c r="J75" s="419"/>
      <c r="K75" s="374">
        <f t="shared" si="2"/>
        <v>2070</v>
      </c>
      <c r="L75" s="393" t="str">
        <f t="shared" si="3"/>
        <v>-</v>
      </c>
      <c r="M75" s="831"/>
    </row>
    <row r="76" spans="1:13" ht="15.75" x14ac:dyDescent="0.25">
      <c r="A76" s="415"/>
      <c r="B76" s="383" t="s">
        <v>668</v>
      </c>
      <c r="C76" s="376"/>
      <c r="D76" s="381">
        <v>4400</v>
      </c>
      <c r="E76" s="381"/>
      <c r="F76" s="381">
        <v>4400</v>
      </c>
      <c r="G76" s="381">
        <v>571</v>
      </c>
      <c r="H76" s="374">
        <f t="shared" si="0"/>
        <v>-3829</v>
      </c>
      <c r="I76" s="393">
        <f t="shared" si="1"/>
        <v>-0.87022727272727274</v>
      </c>
      <c r="J76" s="419"/>
      <c r="K76" s="374">
        <f t="shared" si="2"/>
        <v>571</v>
      </c>
      <c r="L76" s="393" t="str">
        <f t="shared" si="3"/>
        <v>-</v>
      </c>
      <c r="M76" s="831"/>
    </row>
    <row r="77" spans="1:13" ht="31.5" x14ac:dyDescent="0.25">
      <c r="A77" s="415"/>
      <c r="B77" s="383" t="s">
        <v>719</v>
      </c>
      <c r="C77" s="376"/>
      <c r="D77" s="381">
        <v>1200</v>
      </c>
      <c r="E77" s="381"/>
      <c r="F77" s="381">
        <v>1200</v>
      </c>
      <c r="G77" s="418"/>
      <c r="H77" s="374">
        <f>G78-F77</f>
        <v>35.410000000000082</v>
      </c>
      <c r="I77" s="393">
        <f t="shared" si="1"/>
        <v>2.95083333333334E-2</v>
      </c>
      <c r="J77" s="419"/>
      <c r="K77" s="374">
        <f>G78-E77</f>
        <v>1235.4100000000001</v>
      </c>
      <c r="L77" s="393" t="str">
        <f t="shared" si="3"/>
        <v>-</v>
      </c>
      <c r="M77" s="831"/>
    </row>
    <row r="78" spans="1:13" ht="15.75" x14ac:dyDescent="0.25">
      <c r="A78" s="415"/>
      <c r="B78" s="383" t="s">
        <v>884</v>
      </c>
      <c r="C78" s="376"/>
      <c r="D78" s="381"/>
      <c r="E78" s="381"/>
      <c r="F78" s="381"/>
      <c r="G78" s="682">
        <v>1235.4100000000001</v>
      </c>
      <c r="H78" s="374"/>
      <c r="I78" s="393"/>
      <c r="J78" s="419"/>
      <c r="K78" s="374"/>
      <c r="L78" s="393"/>
      <c r="M78" s="831"/>
    </row>
    <row r="79" spans="1:13" ht="15.75" x14ac:dyDescent="0.25">
      <c r="A79" s="415"/>
      <c r="B79" s="383" t="s">
        <v>720</v>
      </c>
      <c r="C79" s="376">
        <v>0</v>
      </c>
      <c r="D79" s="381">
        <v>5250</v>
      </c>
      <c r="E79" s="381"/>
      <c r="F79" s="381">
        <v>5250</v>
      </c>
      <c r="G79" s="381"/>
      <c r="H79" s="374">
        <f t="shared" si="0"/>
        <v>-5250</v>
      </c>
      <c r="I79" s="393">
        <f t="shared" si="1"/>
        <v>-1</v>
      </c>
      <c r="J79" s="421"/>
      <c r="K79" s="374">
        <f t="shared" si="2"/>
        <v>0</v>
      </c>
      <c r="L79" s="393" t="str">
        <f t="shared" si="3"/>
        <v>-</v>
      </c>
      <c r="M79" s="832"/>
    </row>
    <row r="80" spans="1:13" ht="15.75" x14ac:dyDescent="0.25">
      <c r="A80" s="385">
        <v>50000</v>
      </c>
      <c r="B80" s="386" t="s">
        <v>295</v>
      </c>
      <c r="C80" s="387">
        <v>1338102</v>
      </c>
      <c r="D80" s="387">
        <v>1293300</v>
      </c>
      <c r="E80" s="387">
        <f>E25+E17+E4</f>
        <v>1338102</v>
      </c>
      <c r="F80" s="686">
        <f>F25+F17+F4</f>
        <v>1293300</v>
      </c>
      <c r="G80" s="387">
        <f>G25+G17+G4</f>
        <v>1088686.94</v>
      </c>
      <c r="H80" s="374">
        <f t="shared" si="0"/>
        <v>-204613.06000000006</v>
      </c>
      <c r="I80" s="393">
        <f t="shared" si="1"/>
        <v>-0.15821005180545894</v>
      </c>
      <c r="J80" s="388"/>
      <c r="K80" s="374">
        <f t="shared" si="2"/>
        <v>-249415.06000000006</v>
      </c>
      <c r="L80" s="393">
        <f t="shared" si="3"/>
        <v>-0.18639465451811599</v>
      </c>
      <c r="M80" s="388"/>
    </row>
    <row r="81" customFormat="1" x14ac:dyDescent="0.2"/>
    <row r="82" customFormat="1" ht="9.75" customHeight="1" x14ac:dyDescent="0.2"/>
  </sheetData>
  <mergeCells count="20">
    <mergeCell ref="J18:J24"/>
    <mergeCell ref="M18:M24"/>
    <mergeCell ref="J26:J34"/>
    <mergeCell ref="M26:M34"/>
    <mergeCell ref="M58:M79"/>
    <mergeCell ref="A1:A2"/>
    <mergeCell ref="B1:B2"/>
    <mergeCell ref="C1:C2"/>
    <mergeCell ref="E1:E2"/>
    <mergeCell ref="F1:F2"/>
    <mergeCell ref="G1:G2"/>
    <mergeCell ref="H1:H2"/>
    <mergeCell ref="I1:I2"/>
    <mergeCell ref="J1:J2"/>
    <mergeCell ref="K1:K2"/>
    <mergeCell ref="L1:L2"/>
    <mergeCell ref="M1:M2"/>
    <mergeCell ref="D1:D2"/>
    <mergeCell ref="J5:J16"/>
    <mergeCell ref="M5:M16"/>
  </mergeCells>
  <pageMargins left="0.7" right="0.7" top="0.75" bottom="0.75" header="0.3" footer="0.3"/>
  <pageSetup paperSize="9" scale="1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7">
    <tabColor rgb="FF92D050"/>
    <pageSetUpPr fitToPage="1"/>
  </sheetPr>
  <dimension ref="A1:H116"/>
  <sheetViews>
    <sheetView tabSelected="1" workbookViewId="0">
      <selection activeCell="M112" sqref="M112"/>
    </sheetView>
  </sheetViews>
  <sheetFormatPr defaultRowHeight="15.75" x14ac:dyDescent="0.2"/>
  <cols>
    <col min="1" max="1" width="8.7109375" style="67" bestFit="1" customWidth="1"/>
    <col min="2" max="2" width="43.85546875" style="66" customWidth="1"/>
    <col min="3" max="3" width="19.85546875" style="310" customWidth="1"/>
    <col min="4" max="6" width="17.5703125" style="310" customWidth="1"/>
    <col min="7" max="7" width="32.7109375" style="313" customWidth="1"/>
    <col min="8" max="16384" width="9.140625" style="66"/>
  </cols>
  <sheetData>
    <row r="1" spans="1:7" ht="38.25" x14ac:dyDescent="0.2">
      <c r="A1" s="79" t="s">
        <v>545</v>
      </c>
      <c r="B1" s="80" t="s">
        <v>593</v>
      </c>
      <c r="C1" s="80"/>
      <c r="D1" s="80" t="s">
        <v>546</v>
      </c>
      <c r="E1" s="80" t="s">
        <v>547</v>
      </c>
      <c r="F1" s="80" t="s">
        <v>548</v>
      </c>
      <c r="G1" s="80" t="s">
        <v>549</v>
      </c>
    </row>
    <row r="2" spans="1:7" x14ac:dyDescent="0.2">
      <c r="A2" s="79"/>
      <c r="B2" s="80" t="s">
        <v>367</v>
      </c>
      <c r="C2" s="276"/>
      <c r="D2" s="276"/>
      <c r="E2" s="276"/>
      <c r="F2" s="276"/>
      <c r="G2" s="276"/>
    </row>
    <row r="3" spans="1:7" x14ac:dyDescent="0.2">
      <c r="A3" s="81" t="s">
        <v>550</v>
      </c>
      <c r="B3" s="82" t="s">
        <v>368</v>
      </c>
      <c r="C3" s="730">
        <f>C4+C9+C13+C17+C26</f>
        <v>5857967.9800000004</v>
      </c>
      <c r="D3" s="277"/>
      <c r="E3" s="278"/>
      <c r="F3" s="279"/>
      <c r="G3" s="280"/>
    </row>
    <row r="4" spans="1:7" x14ac:dyDescent="0.2">
      <c r="A4" s="83" t="s">
        <v>551</v>
      </c>
      <c r="B4" s="84" t="s">
        <v>369</v>
      </c>
      <c r="C4" s="281"/>
      <c r="D4" s="282"/>
      <c r="E4" s="283"/>
      <c r="F4" s="284"/>
      <c r="G4" s="285"/>
    </row>
    <row r="5" spans="1:7" x14ac:dyDescent="0.2">
      <c r="A5" s="85" t="s">
        <v>552</v>
      </c>
      <c r="B5" s="86" t="s">
        <v>553</v>
      </c>
      <c r="C5" s="286"/>
      <c r="D5" s="287"/>
      <c r="E5" s="288"/>
      <c r="F5" s="289"/>
      <c r="G5" s="290"/>
    </row>
    <row r="6" spans="1:7" x14ac:dyDescent="0.2">
      <c r="A6" s="85" t="s">
        <v>554</v>
      </c>
      <c r="B6" s="86" t="s">
        <v>553</v>
      </c>
      <c r="C6" s="286"/>
      <c r="D6" s="287"/>
      <c r="E6" s="288"/>
      <c r="F6" s="289"/>
      <c r="G6" s="290"/>
    </row>
    <row r="7" spans="1:7" x14ac:dyDescent="0.2">
      <c r="A7" s="85" t="s">
        <v>555</v>
      </c>
      <c r="B7" s="86" t="s">
        <v>553</v>
      </c>
      <c r="C7" s="286"/>
      <c r="D7" s="287"/>
      <c r="E7" s="288"/>
      <c r="F7" s="289"/>
      <c r="G7" s="290"/>
    </row>
    <row r="8" spans="1:7" x14ac:dyDescent="0.2">
      <c r="A8" s="85"/>
      <c r="B8" s="86"/>
      <c r="C8" s="286"/>
      <c r="D8" s="291"/>
      <c r="E8" s="292"/>
      <c r="F8" s="293"/>
      <c r="G8" s="294"/>
    </row>
    <row r="9" spans="1:7" x14ac:dyDescent="0.2">
      <c r="A9" s="87" t="s">
        <v>556</v>
      </c>
      <c r="B9" s="88" t="s">
        <v>370</v>
      </c>
      <c r="C9" s="295"/>
      <c r="D9" s="282"/>
      <c r="E9" s="283"/>
      <c r="F9" s="284"/>
      <c r="G9" s="285"/>
    </row>
    <row r="10" spans="1:7" x14ac:dyDescent="0.2">
      <c r="A10" s="85" t="s">
        <v>557</v>
      </c>
      <c r="B10" s="89" t="s">
        <v>553</v>
      </c>
      <c r="C10" s="296"/>
      <c r="D10" s="297"/>
      <c r="E10" s="292"/>
      <c r="F10" s="293"/>
      <c r="G10" s="294"/>
    </row>
    <row r="11" spans="1:7" x14ac:dyDescent="0.2">
      <c r="A11" s="85" t="s">
        <v>558</v>
      </c>
      <c r="B11" s="89" t="s">
        <v>553</v>
      </c>
      <c r="C11" s="296"/>
      <c r="D11" s="297"/>
      <c r="E11" s="292"/>
      <c r="F11" s="293"/>
      <c r="G11" s="294"/>
    </row>
    <row r="12" spans="1:7" x14ac:dyDescent="0.2">
      <c r="A12" s="85" t="s">
        <v>555</v>
      </c>
      <c r="B12" s="89" t="s">
        <v>553</v>
      </c>
      <c r="C12" s="296"/>
      <c r="D12" s="297"/>
      <c r="E12" s="292"/>
      <c r="F12" s="293"/>
      <c r="G12" s="294"/>
    </row>
    <row r="13" spans="1:7" x14ac:dyDescent="0.2">
      <c r="A13" s="87" t="s">
        <v>559</v>
      </c>
      <c r="B13" s="88" t="s">
        <v>371</v>
      </c>
      <c r="C13" s="295"/>
      <c r="D13" s="282"/>
      <c r="E13" s="283"/>
      <c r="F13" s="284"/>
      <c r="G13" s="285"/>
    </row>
    <row r="14" spans="1:7" x14ac:dyDescent="0.2">
      <c r="A14" s="85" t="s">
        <v>560</v>
      </c>
      <c r="B14" s="89" t="s">
        <v>553</v>
      </c>
      <c r="C14" s="296"/>
      <c r="D14" s="297"/>
      <c r="E14" s="292"/>
      <c r="F14" s="293"/>
      <c r="G14" s="294"/>
    </row>
    <row r="15" spans="1:7" x14ac:dyDescent="0.2">
      <c r="A15" s="85" t="s">
        <v>561</v>
      </c>
      <c r="B15" s="89" t="s">
        <v>553</v>
      </c>
      <c r="C15" s="296"/>
      <c r="D15" s="297"/>
      <c r="E15" s="292"/>
      <c r="F15" s="293"/>
      <c r="G15" s="294"/>
    </row>
    <row r="16" spans="1:7" x14ac:dyDescent="0.2">
      <c r="A16" s="85" t="s">
        <v>555</v>
      </c>
      <c r="B16" s="89" t="s">
        <v>553</v>
      </c>
      <c r="C16" s="296"/>
      <c r="D16" s="297"/>
      <c r="E16" s="292"/>
      <c r="F16" s="293"/>
      <c r="G16" s="294"/>
    </row>
    <row r="17" spans="1:7" x14ac:dyDescent="0.2">
      <c r="A17" s="87" t="s">
        <v>562</v>
      </c>
      <c r="B17" s="88" t="s">
        <v>372</v>
      </c>
      <c r="C17" s="330">
        <f>C18+C19+C20+C21+C22+C23+C24+C25</f>
        <v>5760658.9800000004</v>
      </c>
      <c r="D17" s="282"/>
      <c r="E17" s="283"/>
      <c r="F17" s="284"/>
      <c r="G17" s="285"/>
    </row>
    <row r="18" spans="1:7" ht="25.5" x14ac:dyDescent="0.2">
      <c r="A18" s="85" t="s">
        <v>563</v>
      </c>
      <c r="B18" s="90" t="s">
        <v>609</v>
      </c>
      <c r="C18" s="317">
        <v>325676.78000000003</v>
      </c>
      <c r="D18" s="298"/>
      <c r="E18" s="288"/>
      <c r="F18" s="289"/>
      <c r="G18" s="290"/>
    </row>
    <row r="19" spans="1:7" ht="25.5" x14ac:dyDescent="0.2">
      <c r="A19" s="85" t="s">
        <v>564</v>
      </c>
      <c r="B19" s="90" t="s">
        <v>610</v>
      </c>
      <c r="C19" s="317">
        <v>1225635.71</v>
      </c>
      <c r="D19" s="298"/>
      <c r="E19" s="288"/>
      <c r="F19" s="289"/>
      <c r="G19" s="290"/>
    </row>
    <row r="20" spans="1:7" ht="25.5" x14ac:dyDescent="0.2">
      <c r="A20" s="85" t="s">
        <v>555</v>
      </c>
      <c r="B20" s="90" t="s">
        <v>611</v>
      </c>
      <c r="C20" s="317">
        <v>2050480.26</v>
      </c>
      <c r="D20" s="298"/>
      <c r="E20" s="288"/>
      <c r="F20" s="289"/>
      <c r="G20" s="290"/>
    </row>
    <row r="21" spans="1:7" x14ac:dyDescent="0.2">
      <c r="A21" s="85"/>
      <c r="B21" s="90" t="s">
        <v>612</v>
      </c>
      <c r="C21" s="317">
        <v>1198165.49</v>
      </c>
      <c r="D21" s="298"/>
      <c r="E21" s="288"/>
      <c r="F21" s="289"/>
      <c r="G21" s="290"/>
    </row>
    <row r="22" spans="1:7" x14ac:dyDescent="0.2">
      <c r="A22" s="85"/>
      <c r="B22" s="90" t="s">
        <v>613</v>
      </c>
      <c r="C22" s="317">
        <v>854992.08</v>
      </c>
      <c r="D22" s="298"/>
      <c r="E22" s="288"/>
      <c r="F22" s="289"/>
      <c r="G22" s="290"/>
    </row>
    <row r="23" spans="1:7" x14ac:dyDescent="0.2">
      <c r="A23" s="85"/>
      <c r="B23" s="90" t="s">
        <v>614</v>
      </c>
      <c r="C23" s="317">
        <v>55466.28</v>
      </c>
      <c r="D23" s="298"/>
      <c r="E23" s="288"/>
      <c r="F23" s="289"/>
      <c r="G23" s="290"/>
    </row>
    <row r="24" spans="1:7" x14ac:dyDescent="0.2">
      <c r="A24" s="85"/>
      <c r="B24" s="90" t="s">
        <v>615</v>
      </c>
      <c r="C24" s="317">
        <v>49966.28</v>
      </c>
      <c r="D24" s="394"/>
      <c r="E24" s="292"/>
      <c r="F24" s="293"/>
      <c r="G24" s="294"/>
    </row>
    <row r="25" spans="1:7" x14ac:dyDescent="0.2">
      <c r="A25" s="85"/>
      <c r="B25" s="89" t="s">
        <v>676</v>
      </c>
      <c r="C25" s="329">
        <v>276.10000000000002</v>
      </c>
      <c r="D25" s="297"/>
      <c r="E25" s="292"/>
      <c r="F25" s="293"/>
      <c r="G25" s="294"/>
    </row>
    <row r="26" spans="1:7" ht="38.25" x14ac:dyDescent="0.2">
      <c r="A26" s="87" t="s">
        <v>565</v>
      </c>
      <c r="B26" s="88" t="s">
        <v>669</v>
      </c>
      <c r="C26" s="710">
        <f>C27+C28</f>
        <v>97309</v>
      </c>
      <c r="D26" s="282"/>
      <c r="E26" s="283"/>
      <c r="F26" s="284"/>
      <c r="G26" s="713"/>
    </row>
    <row r="27" spans="1:7" x14ac:dyDescent="0.2">
      <c r="A27" s="85" t="s">
        <v>566</v>
      </c>
      <c r="B27" s="89" t="s">
        <v>634</v>
      </c>
      <c r="C27" s="329">
        <v>67717</v>
      </c>
      <c r="D27" s="297"/>
      <c r="E27" s="292"/>
      <c r="F27" s="293"/>
      <c r="G27" s="715" t="s">
        <v>670</v>
      </c>
    </row>
    <row r="28" spans="1:7" x14ac:dyDescent="0.2">
      <c r="A28" s="85" t="s">
        <v>567</v>
      </c>
      <c r="B28" s="89" t="s">
        <v>671</v>
      </c>
      <c r="C28" s="329">
        <v>29592</v>
      </c>
      <c r="D28" s="297"/>
      <c r="E28" s="292"/>
      <c r="F28" s="293"/>
      <c r="G28" s="715" t="s">
        <v>670</v>
      </c>
    </row>
    <row r="29" spans="1:7" x14ac:dyDescent="0.2">
      <c r="A29" s="85" t="s">
        <v>555</v>
      </c>
      <c r="B29" s="89" t="s">
        <v>553</v>
      </c>
      <c r="C29" s="296"/>
      <c r="D29" s="297"/>
      <c r="E29" s="292"/>
      <c r="F29" s="293"/>
      <c r="G29" s="294"/>
    </row>
    <row r="30" spans="1:7" x14ac:dyDescent="0.2">
      <c r="A30" s="81" t="s">
        <v>568</v>
      </c>
      <c r="B30" s="82" t="s">
        <v>374</v>
      </c>
      <c r="C30" s="730">
        <f>C31+C35+C39+C48+C57+C65+C69+C79</f>
        <v>2862295.9499999997</v>
      </c>
      <c r="D30" s="277"/>
      <c r="E30" s="278"/>
      <c r="F30" s="279"/>
      <c r="G30" s="280"/>
    </row>
    <row r="31" spans="1:7" x14ac:dyDescent="0.2">
      <c r="A31" s="87" t="s">
        <v>569</v>
      </c>
      <c r="B31" s="88" t="s">
        <v>369</v>
      </c>
      <c r="C31" s="295"/>
      <c r="D31" s="282"/>
      <c r="E31" s="283"/>
      <c r="F31" s="284"/>
      <c r="G31" s="285"/>
    </row>
    <row r="32" spans="1:7" x14ac:dyDescent="0.2">
      <c r="A32" s="85" t="s">
        <v>570</v>
      </c>
      <c r="B32" s="89" t="s">
        <v>553</v>
      </c>
      <c r="C32" s="296"/>
      <c r="D32" s="297"/>
      <c r="E32" s="292"/>
      <c r="F32" s="293"/>
      <c r="G32" s="294"/>
    </row>
    <row r="33" spans="1:7" x14ac:dyDescent="0.2">
      <c r="A33" s="85" t="s">
        <v>571</v>
      </c>
      <c r="B33" s="89" t="s">
        <v>553</v>
      </c>
      <c r="C33" s="296"/>
      <c r="D33" s="297"/>
      <c r="E33" s="292"/>
      <c r="F33" s="293"/>
      <c r="G33" s="294"/>
    </row>
    <row r="34" spans="1:7" x14ac:dyDescent="0.2">
      <c r="A34" s="85" t="s">
        <v>555</v>
      </c>
      <c r="B34" s="89" t="s">
        <v>553</v>
      </c>
      <c r="C34" s="296"/>
      <c r="D34" s="297"/>
      <c r="E34" s="292"/>
      <c r="F34" s="293"/>
      <c r="G34" s="294"/>
    </row>
    <row r="35" spans="1:7" x14ac:dyDescent="0.2">
      <c r="A35" s="87" t="s">
        <v>572</v>
      </c>
      <c r="B35" s="88" t="s">
        <v>371</v>
      </c>
      <c r="C35" s="295"/>
      <c r="D35" s="283"/>
      <c r="E35" s="283"/>
      <c r="F35" s="284"/>
      <c r="G35" s="285"/>
    </row>
    <row r="36" spans="1:7" x14ac:dyDescent="0.2">
      <c r="A36" s="85" t="s">
        <v>573</v>
      </c>
      <c r="B36" s="89" t="s">
        <v>553</v>
      </c>
      <c r="C36" s="296"/>
      <c r="D36" s="292"/>
      <c r="E36" s="292"/>
      <c r="F36" s="293"/>
      <c r="G36" s="294"/>
    </row>
    <row r="37" spans="1:7" x14ac:dyDescent="0.2">
      <c r="A37" s="85" t="s">
        <v>574</v>
      </c>
      <c r="B37" s="89" t="s">
        <v>553</v>
      </c>
      <c r="C37" s="296"/>
      <c r="D37" s="292"/>
      <c r="E37" s="292"/>
      <c r="F37" s="293"/>
      <c r="G37" s="294"/>
    </row>
    <row r="38" spans="1:7" x14ac:dyDescent="0.2">
      <c r="A38" s="85" t="s">
        <v>555</v>
      </c>
      <c r="B38" s="89" t="s">
        <v>553</v>
      </c>
      <c r="C38" s="296"/>
      <c r="D38" s="292"/>
      <c r="E38" s="292"/>
      <c r="F38" s="293"/>
      <c r="G38" s="294"/>
    </row>
    <row r="39" spans="1:7" ht="38.25" x14ac:dyDescent="0.2">
      <c r="A39" s="87" t="s">
        <v>575</v>
      </c>
      <c r="B39" s="88" t="s">
        <v>616</v>
      </c>
      <c r="C39" s="330">
        <f>C40+C41+C42+C43+C44+C45+C46</f>
        <v>7997</v>
      </c>
      <c r="D39" s="711"/>
      <c r="E39" s="711"/>
      <c r="F39" s="712"/>
      <c r="G39" s="713"/>
    </row>
    <row r="40" spans="1:7" x14ac:dyDescent="0.2">
      <c r="A40" s="85" t="s">
        <v>576</v>
      </c>
      <c r="B40" s="180" t="s">
        <v>762</v>
      </c>
      <c r="C40" s="180">
        <v>4799</v>
      </c>
      <c r="D40" s="93"/>
      <c r="E40" s="93"/>
      <c r="F40" s="714"/>
      <c r="G40" s="715" t="s">
        <v>666</v>
      </c>
    </row>
    <row r="41" spans="1:7" x14ac:dyDescent="0.2">
      <c r="A41" s="85" t="s">
        <v>577</v>
      </c>
      <c r="B41" s="180" t="s">
        <v>905</v>
      </c>
      <c r="C41" s="716">
        <v>1817</v>
      </c>
      <c r="D41" s="93"/>
      <c r="E41" s="93"/>
      <c r="F41" s="714"/>
      <c r="G41" s="715" t="s">
        <v>666</v>
      </c>
    </row>
    <row r="42" spans="1:7" x14ac:dyDescent="0.2">
      <c r="A42" s="85" t="s">
        <v>555</v>
      </c>
      <c r="B42" s="180" t="s">
        <v>906</v>
      </c>
      <c r="C42" s="716">
        <v>156</v>
      </c>
      <c r="D42" s="93"/>
      <c r="E42" s="93"/>
      <c r="F42" s="714"/>
      <c r="G42" s="715" t="s">
        <v>666</v>
      </c>
    </row>
    <row r="43" spans="1:7" x14ac:dyDescent="0.2">
      <c r="A43" s="91"/>
      <c r="B43" s="180" t="s">
        <v>907</v>
      </c>
      <c r="C43" s="180">
        <v>65</v>
      </c>
      <c r="D43" s="93"/>
      <c r="E43" s="93"/>
      <c r="F43" s="714"/>
      <c r="G43" s="715" t="s">
        <v>666</v>
      </c>
    </row>
    <row r="44" spans="1:7" x14ac:dyDescent="0.2">
      <c r="A44" s="91"/>
      <c r="B44" s="180" t="s">
        <v>908</v>
      </c>
      <c r="C44" s="716">
        <v>120</v>
      </c>
      <c r="D44" s="717"/>
      <c r="E44" s="717"/>
      <c r="F44" s="714"/>
      <c r="G44" s="715" t="s">
        <v>666</v>
      </c>
    </row>
    <row r="45" spans="1:7" x14ac:dyDescent="0.2">
      <c r="A45" s="85"/>
      <c r="B45" s="718" t="s">
        <v>909</v>
      </c>
      <c r="C45" s="329">
        <v>1040</v>
      </c>
      <c r="D45" s="417"/>
      <c r="E45" s="417"/>
      <c r="F45" s="719"/>
      <c r="G45" s="715" t="s">
        <v>763</v>
      </c>
    </row>
    <row r="46" spans="1:7" x14ac:dyDescent="0.2">
      <c r="A46" s="85"/>
      <c r="B46" s="89"/>
      <c r="C46" s="317"/>
      <c r="D46" s="720"/>
      <c r="E46" s="417"/>
      <c r="F46" s="719"/>
      <c r="G46" s="715"/>
    </row>
    <row r="47" spans="1:7" x14ac:dyDescent="0.2">
      <c r="A47" s="85"/>
      <c r="C47" s="721"/>
      <c r="D47" s="717"/>
      <c r="E47" s="717"/>
      <c r="F47" s="714"/>
      <c r="G47" s="722"/>
    </row>
    <row r="48" spans="1:7" ht="38.25" x14ac:dyDescent="0.2">
      <c r="A48" s="87" t="s">
        <v>578</v>
      </c>
      <c r="B48" s="88" t="s">
        <v>617</v>
      </c>
      <c r="C48" s="330">
        <f>C49+C50+C51+C52+C53+C54</f>
        <v>1097315.8399999999</v>
      </c>
      <c r="D48" s="711"/>
      <c r="E48" s="711"/>
      <c r="F48" s="712"/>
      <c r="G48" s="713"/>
    </row>
    <row r="49" spans="1:7" x14ac:dyDescent="0.2">
      <c r="A49" s="85" t="s">
        <v>579</v>
      </c>
      <c r="B49" s="86" t="s">
        <v>618</v>
      </c>
      <c r="C49" s="180">
        <v>342249</v>
      </c>
      <c r="D49" s="180">
        <v>45915</v>
      </c>
      <c r="E49" s="93"/>
      <c r="F49" s="719"/>
      <c r="G49" s="715" t="s">
        <v>285</v>
      </c>
    </row>
    <row r="50" spans="1:7" x14ac:dyDescent="0.2">
      <c r="A50" s="85" t="s">
        <v>555</v>
      </c>
      <c r="B50" s="86" t="s">
        <v>910</v>
      </c>
      <c r="C50" s="180">
        <v>115506.73</v>
      </c>
      <c r="D50" s="180"/>
      <c r="E50" s="93"/>
      <c r="F50" s="719"/>
      <c r="G50" s="715" t="s">
        <v>43</v>
      </c>
    </row>
    <row r="51" spans="1:7" x14ac:dyDescent="0.2">
      <c r="A51" s="85"/>
      <c r="B51" s="180" t="s">
        <v>752</v>
      </c>
      <c r="C51" s="180">
        <v>82671.97</v>
      </c>
      <c r="D51" s="180"/>
      <c r="E51" s="417"/>
      <c r="F51" s="719"/>
      <c r="G51" s="715" t="s">
        <v>285</v>
      </c>
    </row>
    <row r="52" spans="1:7" x14ac:dyDescent="0.2">
      <c r="A52" s="85"/>
      <c r="B52" s="180" t="s">
        <v>764</v>
      </c>
      <c r="C52" s="724">
        <v>72286.64</v>
      </c>
      <c r="D52" s="417"/>
      <c r="E52" s="417"/>
      <c r="F52" s="719"/>
      <c r="G52" s="715" t="s">
        <v>285</v>
      </c>
    </row>
    <row r="53" spans="1:7" x14ac:dyDescent="0.2">
      <c r="A53" s="85"/>
      <c r="B53" s="723" t="s">
        <v>739</v>
      </c>
      <c r="C53" s="724">
        <v>53390.5</v>
      </c>
      <c r="D53" s="417"/>
      <c r="E53" s="417"/>
      <c r="F53" s="719"/>
      <c r="G53" s="715" t="s">
        <v>285</v>
      </c>
    </row>
    <row r="54" spans="1:7" x14ac:dyDescent="0.2">
      <c r="A54" s="85"/>
      <c r="B54" s="86" t="s">
        <v>911</v>
      </c>
      <c r="C54" s="716">
        <v>431211</v>
      </c>
      <c r="D54" s="417"/>
      <c r="E54" s="417"/>
      <c r="F54" s="719"/>
      <c r="G54" s="715"/>
    </row>
    <row r="55" spans="1:7" x14ac:dyDescent="0.2">
      <c r="A55" s="85"/>
      <c r="B55" s="86"/>
      <c r="C55" s="709"/>
      <c r="D55" s="292"/>
      <c r="E55" s="292"/>
      <c r="F55" s="293"/>
      <c r="G55" s="294"/>
    </row>
    <row r="56" spans="1:7" x14ac:dyDescent="0.25">
      <c r="A56" s="85"/>
      <c r="B56" s="93"/>
      <c r="C56" s="395"/>
      <c r="D56" s="292"/>
      <c r="E56" s="292"/>
      <c r="F56" s="293"/>
      <c r="G56" s="294"/>
    </row>
    <row r="57" spans="1:7" x14ac:dyDescent="0.2">
      <c r="A57" s="87" t="s">
        <v>580</v>
      </c>
      <c r="B57" s="84" t="s">
        <v>377</v>
      </c>
      <c r="C57" s="330">
        <f>C58+C59+C60+C61+C62+C63</f>
        <v>647674.38</v>
      </c>
      <c r="D57" s="283"/>
      <c r="E57" s="283"/>
      <c r="F57" s="284"/>
      <c r="G57" s="285"/>
    </row>
    <row r="58" spans="1:7" x14ac:dyDescent="0.2">
      <c r="A58" s="92" t="s">
        <v>581</v>
      </c>
      <c r="B58" s="90" t="s">
        <v>619</v>
      </c>
      <c r="C58" s="725">
        <v>392052.97</v>
      </c>
      <c r="D58" s="288"/>
      <c r="E58" s="288"/>
      <c r="F58" s="289"/>
      <c r="G58" s="290"/>
    </row>
    <row r="59" spans="1:7" x14ac:dyDescent="0.2">
      <c r="A59" s="92" t="s">
        <v>582</v>
      </c>
      <c r="B59" s="90" t="s">
        <v>620</v>
      </c>
      <c r="C59" s="725">
        <v>222625.65</v>
      </c>
      <c r="D59" s="288"/>
      <c r="E59" s="288"/>
      <c r="F59" s="289"/>
      <c r="G59" s="290"/>
    </row>
    <row r="60" spans="1:7" x14ac:dyDescent="0.2">
      <c r="A60" s="92" t="s">
        <v>555</v>
      </c>
      <c r="B60" s="90" t="s">
        <v>621</v>
      </c>
      <c r="C60" s="725">
        <v>32774</v>
      </c>
      <c r="D60" s="299"/>
      <c r="E60" s="288"/>
      <c r="F60" s="289"/>
      <c r="G60" s="290"/>
    </row>
    <row r="61" spans="1:7" x14ac:dyDescent="0.2">
      <c r="A61" s="92"/>
      <c r="B61" s="90" t="s">
        <v>622</v>
      </c>
      <c r="C61" s="725">
        <v>0</v>
      </c>
      <c r="D61" s="292"/>
      <c r="E61" s="292"/>
      <c r="F61" s="293"/>
      <c r="G61" s="294"/>
    </row>
    <row r="62" spans="1:7" x14ac:dyDescent="0.2">
      <c r="A62" s="92"/>
      <c r="B62" s="90" t="s">
        <v>623</v>
      </c>
      <c r="C62" s="725">
        <v>0</v>
      </c>
      <c r="D62" s="292"/>
      <c r="E62" s="292"/>
      <c r="F62" s="293"/>
      <c r="G62" s="294"/>
    </row>
    <row r="63" spans="1:7" x14ac:dyDescent="0.2">
      <c r="A63" s="92"/>
      <c r="B63" s="90" t="s">
        <v>624</v>
      </c>
      <c r="C63" s="725">
        <v>221.76</v>
      </c>
      <c r="D63" s="292"/>
      <c r="E63" s="292"/>
      <c r="F63" s="293"/>
      <c r="G63" s="294"/>
    </row>
    <row r="64" spans="1:7" x14ac:dyDescent="0.2">
      <c r="A64" s="92"/>
      <c r="B64" s="93"/>
      <c r="C64" s="396"/>
      <c r="D64" s="292"/>
      <c r="E64" s="292"/>
      <c r="F64" s="293"/>
      <c r="G64" s="294"/>
    </row>
    <row r="65" spans="1:7" ht="38.25" x14ac:dyDescent="0.2">
      <c r="A65" s="87" t="s">
        <v>583</v>
      </c>
      <c r="B65" s="94" t="s">
        <v>625</v>
      </c>
      <c r="C65" s="726">
        <f>C66+C67</f>
        <v>89235.93</v>
      </c>
      <c r="D65" s="283"/>
      <c r="E65" s="283"/>
      <c r="F65" s="284"/>
      <c r="G65" s="285"/>
    </row>
    <row r="66" spans="1:7" x14ac:dyDescent="0.2">
      <c r="A66" s="92" t="s">
        <v>584</v>
      </c>
      <c r="B66" s="90" t="s">
        <v>626</v>
      </c>
      <c r="C66" s="727">
        <v>85690.93</v>
      </c>
      <c r="D66" s="292"/>
      <c r="E66" s="292"/>
      <c r="F66" s="293"/>
      <c r="G66" s="294"/>
    </row>
    <row r="67" spans="1:7" x14ac:dyDescent="0.2">
      <c r="A67" s="92" t="s">
        <v>585</v>
      </c>
      <c r="B67" s="90" t="s">
        <v>627</v>
      </c>
      <c r="C67" s="727">
        <v>3545</v>
      </c>
      <c r="D67" s="292"/>
      <c r="E67" s="292"/>
      <c r="F67" s="293"/>
      <c r="G67" s="294"/>
    </row>
    <row r="68" spans="1:7" x14ac:dyDescent="0.2">
      <c r="A68" s="92" t="s">
        <v>555</v>
      </c>
      <c r="B68" s="89" t="s">
        <v>553</v>
      </c>
      <c r="C68" s="296"/>
      <c r="D68" s="292"/>
      <c r="E68" s="292"/>
      <c r="F68" s="293"/>
      <c r="G68" s="294"/>
    </row>
    <row r="69" spans="1:7" x14ac:dyDescent="0.2">
      <c r="A69" s="87" t="s">
        <v>586</v>
      </c>
      <c r="B69" s="88" t="s">
        <v>372</v>
      </c>
      <c r="C69" s="330">
        <f>C70+C71+C72+C73+C74+C75+C76+C77</f>
        <v>261842.8</v>
      </c>
      <c r="D69" s="283"/>
      <c r="E69" s="283"/>
      <c r="F69" s="284"/>
      <c r="G69" s="285"/>
    </row>
    <row r="70" spans="1:7" ht="25.5" x14ac:dyDescent="0.2">
      <c r="A70" s="85" t="s">
        <v>587</v>
      </c>
      <c r="B70" s="90" t="s">
        <v>609</v>
      </c>
      <c r="C70" s="417">
        <v>6257.98</v>
      </c>
      <c r="D70" s="292"/>
      <c r="E70" s="300"/>
      <c r="F70" s="301"/>
      <c r="G70" s="302"/>
    </row>
    <row r="71" spans="1:7" ht="25.5" x14ac:dyDescent="0.2">
      <c r="A71" s="85" t="s">
        <v>588</v>
      </c>
      <c r="B71" s="90" t="s">
        <v>610</v>
      </c>
      <c r="C71" s="417">
        <v>62924.38</v>
      </c>
      <c r="D71" s="292"/>
      <c r="E71" s="300"/>
      <c r="F71" s="301"/>
      <c r="G71" s="302"/>
    </row>
    <row r="72" spans="1:7" ht="25.5" x14ac:dyDescent="0.2">
      <c r="A72" s="85" t="s">
        <v>555</v>
      </c>
      <c r="B72" s="90" t="s">
        <v>611</v>
      </c>
      <c r="C72" s="417">
        <v>23039.1</v>
      </c>
      <c r="D72" s="292"/>
      <c r="E72" s="300"/>
      <c r="F72" s="301"/>
      <c r="G72" s="302"/>
    </row>
    <row r="73" spans="1:7" x14ac:dyDescent="0.2">
      <c r="A73" s="91"/>
      <c r="B73" s="90" t="s">
        <v>612</v>
      </c>
      <c r="C73" s="417">
        <v>112951.88</v>
      </c>
      <c r="D73" s="292"/>
      <c r="E73" s="300"/>
      <c r="F73" s="301"/>
      <c r="G73" s="302"/>
    </row>
    <row r="74" spans="1:7" x14ac:dyDescent="0.2">
      <c r="A74" s="91"/>
      <c r="B74" s="90" t="s">
        <v>613</v>
      </c>
      <c r="C74" s="417">
        <v>33789.379999999997</v>
      </c>
      <c r="D74" s="292"/>
      <c r="E74" s="300"/>
      <c r="F74" s="301"/>
      <c r="G74" s="302"/>
    </row>
    <row r="75" spans="1:7" x14ac:dyDescent="0.2">
      <c r="A75" s="91"/>
      <c r="B75" s="90" t="s">
        <v>614</v>
      </c>
      <c r="C75" s="417">
        <v>9244.44</v>
      </c>
      <c r="D75" s="292"/>
      <c r="E75" s="300"/>
      <c r="F75" s="301"/>
      <c r="G75" s="302"/>
    </row>
    <row r="76" spans="1:7" x14ac:dyDescent="0.2">
      <c r="A76" s="85"/>
      <c r="B76" s="90" t="s">
        <v>615</v>
      </c>
      <c r="C76" s="417">
        <v>13516.84</v>
      </c>
      <c r="D76" s="292"/>
      <c r="E76" s="300"/>
      <c r="F76" s="301"/>
      <c r="G76" s="297"/>
    </row>
    <row r="77" spans="1:7" x14ac:dyDescent="0.2">
      <c r="A77" s="85"/>
      <c r="B77" s="89" t="s">
        <v>676</v>
      </c>
      <c r="C77" s="417">
        <v>118.8</v>
      </c>
      <c r="D77" s="292"/>
      <c r="E77" s="292"/>
      <c r="F77" s="293"/>
      <c r="G77" s="294"/>
    </row>
    <row r="78" spans="1:7" x14ac:dyDescent="0.2">
      <c r="A78" s="85"/>
      <c r="B78" s="89"/>
      <c r="C78" s="329"/>
      <c r="D78" s="292"/>
      <c r="E78" s="292"/>
      <c r="F78" s="293"/>
      <c r="G78" s="294"/>
    </row>
    <row r="79" spans="1:7" x14ac:dyDescent="0.2">
      <c r="A79" s="87" t="s">
        <v>589</v>
      </c>
      <c r="B79" s="84" t="s">
        <v>379</v>
      </c>
      <c r="C79" s="330">
        <f>C80+C81</f>
        <v>758230</v>
      </c>
      <c r="D79" s="283"/>
      <c r="E79" s="283"/>
      <c r="F79" s="284"/>
      <c r="G79" s="285"/>
    </row>
    <row r="80" spans="1:7" ht="25.5" x14ac:dyDescent="0.2">
      <c r="A80" s="92" t="s">
        <v>590</v>
      </c>
      <c r="B80" s="224" t="s">
        <v>628</v>
      </c>
      <c r="C80" s="728">
        <v>738462</v>
      </c>
      <c r="D80" s="292"/>
      <c r="E80" s="292"/>
      <c r="F80" s="293"/>
      <c r="G80" s="294"/>
    </row>
    <row r="81" spans="1:7" x14ac:dyDescent="0.2">
      <c r="A81" s="92" t="s">
        <v>591</v>
      </c>
      <c r="B81" s="90" t="s">
        <v>379</v>
      </c>
      <c r="C81" s="729">
        <v>19768</v>
      </c>
      <c r="D81" s="292"/>
      <c r="E81" s="292"/>
      <c r="F81" s="293"/>
      <c r="G81" s="294"/>
    </row>
    <row r="82" spans="1:7" x14ac:dyDescent="0.2">
      <c r="A82" s="85" t="s">
        <v>555</v>
      </c>
      <c r="B82" s="170" t="s">
        <v>553</v>
      </c>
      <c r="C82" s="329"/>
      <c r="D82" s="292"/>
      <c r="E82" s="292"/>
      <c r="F82" s="293"/>
      <c r="G82" s="294"/>
    </row>
    <row r="83" spans="1:7" x14ac:dyDescent="0.2">
      <c r="A83" s="85"/>
      <c r="B83" s="95" t="s">
        <v>400</v>
      </c>
      <c r="C83" s="303"/>
      <c r="D83" s="292"/>
      <c r="E83" s="292"/>
      <c r="F83" s="293"/>
      <c r="G83" s="294"/>
    </row>
    <row r="84" spans="1:7" s="68" customFormat="1" ht="51" x14ac:dyDescent="0.2">
      <c r="A84" s="96" t="s">
        <v>550</v>
      </c>
      <c r="B84" s="97" t="s">
        <v>635</v>
      </c>
      <c r="C84" s="731">
        <f>C85+C86+C87+C88+C89+C90</f>
        <v>1782497</v>
      </c>
      <c r="D84" s="731">
        <f>D87+D88+D90</f>
        <v>290762</v>
      </c>
      <c r="E84" s="731">
        <f>E87+E90</f>
        <v>103870</v>
      </c>
      <c r="F84" s="731">
        <f>F88+F90</f>
        <v>186892</v>
      </c>
      <c r="G84" s="741"/>
    </row>
    <row r="85" spans="1:7" s="68" customFormat="1" x14ac:dyDescent="0.2">
      <c r="A85" s="98" t="s">
        <v>594</v>
      </c>
      <c r="B85" s="271" t="s">
        <v>629</v>
      </c>
      <c r="C85" s="716">
        <v>1417869</v>
      </c>
      <c r="D85" s="743"/>
      <c r="E85" s="744"/>
      <c r="F85" s="745"/>
      <c r="G85" s="169" t="s">
        <v>654</v>
      </c>
    </row>
    <row r="86" spans="1:7" s="68" customFormat="1" x14ac:dyDescent="0.2">
      <c r="A86" s="98" t="s">
        <v>551</v>
      </c>
      <c r="B86" s="271" t="s">
        <v>629</v>
      </c>
      <c r="C86" s="716">
        <v>123301</v>
      </c>
      <c r="D86" s="743"/>
      <c r="E86" s="744"/>
      <c r="F86" s="746"/>
      <c r="G86" s="169" t="s">
        <v>765</v>
      </c>
    </row>
    <row r="87" spans="1:7" s="68" customFormat="1" ht="25.5" x14ac:dyDescent="0.2">
      <c r="A87" s="98" t="s">
        <v>556</v>
      </c>
      <c r="B87" s="272" t="s">
        <v>630</v>
      </c>
      <c r="C87" s="716">
        <v>115014</v>
      </c>
      <c r="D87" s="743">
        <v>58132</v>
      </c>
      <c r="E87" s="747">
        <v>58132</v>
      </c>
      <c r="F87" s="748"/>
      <c r="G87" s="169" t="s">
        <v>655</v>
      </c>
    </row>
    <row r="88" spans="1:7" x14ac:dyDescent="0.2">
      <c r="A88" s="98" t="s">
        <v>559</v>
      </c>
      <c r="B88" s="273" t="s">
        <v>631</v>
      </c>
      <c r="C88" s="716">
        <v>15495</v>
      </c>
      <c r="D88" s="743">
        <v>476</v>
      </c>
      <c r="E88" s="744"/>
      <c r="F88" s="749">
        <v>476</v>
      </c>
      <c r="G88" s="169" t="s">
        <v>753</v>
      </c>
    </row>
    <row r="89" spans="1:7" x14ac:dyDescent="0.2">
      <c r="A89" s="98" t="s">
        <v>562</v>
      </c>
      <c r="B89" s="274" t="s">
        <v>915</v>
      </c>
      <c r="C89" s="716">
        <v>14400</v>
      </c>
      <c r="D89" s="743"/>
      <c r="E89" s="744"/>
      <c r="F89" s="749"/>
      <c r="G89" s="169" t="s">
        <v>917</v>
      </c>
    </row>
    <row r="90" spans="1:7" x14ac:dyDescent="0.2">
      <c r="A90" s="98" t="s">
        <v>555</v>
      </c>
      <c r="B90" s="272" t="s">
        <v>916</v>
      </c>
      <c r="C90" s="750">
        <v>96418</v>
      </c>
      <c r="D90" s="743">
        <v>232154</v>
      </c>
      <c r="E90" s="753">
        <v>45738</v>
      </c>
      <c r="F90" s="751">
        <v>186416</v>
      </c>
      <c r="G90" s="169" t="s">
        <v>918</v>
      </c>
    </row>
    <row r="91" spans="1:7" x14ac:dyDescent="0.2">
      <c r="A91" s="98"/>
      <c r="B91" s="89"/>
      <c r="C91" s="734"/>
      <c r="D91" s="180"/>
      <c r="E91" s="738"/>
      <c r="F91" s="752"/>
      <c r="G91" s="169"/>
    </row>
    <row r="92" spans="1:7" s="68" customFormat="1" x14ac:dyDescent="0.2">
      <c r="A92" s="96" t="s">
        <v>568</v>
      </c>
      <c r="B92" s="97" t="s">
        <v>402</v>
      </c>
      <c r="C92" s="307"/>
      <c r="D92" s="307"/>
      <c r="E92" s="307"/>
      <c r="F92" s="307"/>
      <c r="G92" s="304"/>
    </row>
    <row r="93" spans="1:7" x14ac:dyDescent="0.2">
      <c r="A93" s="98" t="s">
        <v>569</v>
      </c>
      <c r="B93" s="99" t="s">
        <v>553</v>
      </c>
      <c r="C93" s="306"/>
      <c r="D93" s="306"/>
      <c r="E93" s="306"/>
      <c r="F93" s="306"/>
      <c r="G93" s="305"/>
    </row>
    <row r="94" spans="1:7" x14ac:dyDescent="0.2">
      <c r="A94" s="98" t="s">
        <v>572</v>
      </c>
      <c r="B94" s="99" t="s">
        <v>553</v>
      </c>
      <c r="C94" s="306"/>
      <c r="D94" s="306"/>
      <c r="E94" s="306"/>
      <c r="F94" s="306"/>
      <c r="G94" s="305"/>
    </row>
    <row r="95" spans="1:7" x14ac:dyDescent="0.2">
      <c r="A95" s="98" t="s">
        <v>555</v>
      </c>
      <c r="B95" s="99" t="s">
        <v>553</v>
      </c>
      <c r="C95" s="306"/>
      <c r="D95" s="306"/>
      <c r="E95" s="306"/>
      <c r="F95" s="306"/>
      <c r="G95" s="305"/>
    </row>
    <row r="96" spans="1:7" s="68" customFormat="1" x14ac:dyDescent="0.2">
      <c r="A96" s="96" t="s">
        <v>595</v>
      </c>
      <c r="B96" s="97" t="s">
        <v>403</v>
      </c>
      <c r="C96" s="731">
        <f>C97+C98+C100</f>
        <v>872</v>
      </c>
      <c r="D96" s="732"/>
      <c r="E96" s="732"/>
      <c r="F96" s="732"/>
      <c r="G96" s="733"/>
    </row>
    <row r="97" spans="1:8" s="68" customFormat="1" x14ac:dyDescent="0.2">
      <c r="A97" s="98" t="s">
        <v>636</v>
      </c>
      <c r="B97" s="169" t="s">
        <v>637</v>
      </c>
      <c r="C97" s="734">
        <v>300</v>
      </c>
      <c r="D97" s="735"/>
      <c r="E97" s="735"/>
      <c r="F97" s="735"/>
      <c r="G97" s="169" t="s">
        <v>673</v>
      </c>
    </row>
    <row r="98" spans="1:8" s="68" customFormat="1" x14ac:dyDescent="0.2">
      <c r="A98" s="98" t="s">
        <v>638</v>
      </c>
      <c r="B98" s="89" t="s">
        <v>672</v>
      </c>
      <c r="C98" s="734">
        <v>572</v>
      </c>
      <c r="D98" s="735"/>
      <c r="E98" s="735"/>
      <c r="F98" s="735"/>
      <c r="G98" s="169" t="s">
        <v>667</v>
      </c>
    </row>
    <row r="99" spans="1:8" x14ac:dyDescent="0.2">
      <c r="C99" s="66"/>
      <c r="D99" s="66"/>
      <c r="E99" s="66"/>
      <c r="F99" s="66"/>
      <c r="G99" s="736"/>
    </row>
    <row r="100" spans="1:8" s="68" customFormat="1" x14ac:dyDescent="0.2">
      <c r="A100" s="79"/>
      <c r="B100" s="397"/>
      <c r="C100" s="734"/>
      <c r="D100" s="735"/>
      <c r="E100" s="735"/>
      <c r="F100" s="735"/>
      <c r="G100" s="169"/>
    </row>
    <row r="101" spans="1:8" s="68" customFormat="1" x14ac:dyDescent="0.2">
      <c r="A101" s="79"/>
      <c r="B101" s="418"/>
      <c r="C101" s="737"/>
      <c r="D101" s="735"/>
      <c r="E101" s="735"/>
      <c r="F101" s="735"/>
      <c r="G101" s="169"/>
    </row>
    <row r="102" spans="1:8" s="68" customFormat="1" x14ac:dyDescent="0.2">
      <c r="A102" s="79"/>
      <c r="B102" s="225"/>
      <c r="C102" s="309"/>
      <c r="D102" s="308"/>
      <c r="E102" s="308"/>
      <c r="F102" s="308"/>
      <c r="G102" s="305"/>
    </row>
    <row r="103" spans="1:8" s="68" customFormat="1" x14ac:dyDescent="0.2">
      <c r="A103" s="79"/>
      <c r="B103" s="225"/>
      <c r="C103" s="309"/>
      <c r="D103" s="308"/>
      <c r="E103" s="308"/>
      <c r="F103" s="308"/>
      <c r="G103" s="305"/>
    </row>
    <row r="104" spans="1:8" s="68" customFormat="1" x14ac:dyDescent="0.2">
      <c r="A104" s="79"/>
      <c r="B104" s="225"/>
      <c r="C104" s="309"/>
      <c r="D104" s="308"/>
      <c r="E104" s="308"/>
      <c r="F104" s="308"/>
      <c r="G104" s="305"/>
    </row>
    <row r="105" spans="1:8" s="68" customFormat="1" ht="38.25" x14ac:dyDescent="0.2">
      <c r="A105" s="96" t="s">
        <v>596</v>
      </c>
      <c r="B105" s="97" t="s">
        <v>639</v>
      </c>
      <c r="C105" s="731">
        <f>C106+C107+C108+C109+C110+C111</f>
        <v>15713.34</v>
      </c>
      <c r="D105" s="732"/>
      <c r="E105" s="732"/>
      <c r="F105" s="732"/>
      <c r="G105" s="741"/>
    </row>
    <row r="106" spans="1:8" s="68" customFormat="1" x14ac:dyDescent="0.2">
      <c r="A106" s="98" t="s">
        <v>597</v>
      </c>
      <c r="B106" s="89" t="s">
        <v>632</v>
      </c>
      <c r="C106" s="716">
        <v>4925</v>
      </c>
      <c r="D106" s="735"/>
      <c r="E106" s="735"/>
      <c r="F106" s="735"/>
      <c r="G106" s="169" t="s">
        <v>656</v>
      </c>
      <c r="H106" s="226"/>
    </row>
    <row r="107" spans="1:8" s="68" customFormat="1" x14ac:dyDescent="0.2">
      <c r="A107" s="98"/>
      <c r="B107" s="89" t="s">
        <v>913</v>
      </c>
      <c r="C107" s="716">
        <v>1311</v>
      </c>
      <c r="D107" s="738"/>
      <c r="E107" s="738"/>
      <c r="F107" s="66"/>
      <c r="G107" s="740" t="s">
        <v>919</v>
      </c>
      <c r="H107" s="226"/>
    </row>
    <row r="108" spans="1:8" s="68" customFormat="1" x14ac:dyDescent="0.2">
      <c r="A108" s="98" t="s">
        <v>598</v>
      </c>
      <c r="B108" s="89" t="s">
        <v>914</v>
      </c>
      <c r="C108" s="716">
        <v>1424</v>
      </c>
      <c r="D108" s="735"/>
      <c r="E108" s="735"/>
      <c r="F108" s="735"/>
      <c r="G108" s="169" t="s">
        <v>656</v>
      </c>
      <c r="H108" s="226"/>
    </row>
    <row r="109" spans="1:8" s="68" customFormat="1" ht="25.5" x14ac:dyDescent="0.2">
      <c r="A109" s="98" t="s">
        <v>555</v>
      </c>
      <c r="B109" s="89" t="s">
        <v>677</v>
      </c>
      <c r="C109" s="716">
        <v>824.34</v>
      </c>
      <c r="D109" s="735"/>
      <c r="E109" s="735"/>
      <c r="F109" s="735"/>
      <c r="G109" s="740" t="s">
        <v>678</v>
      </c>
    </row>
    <row r="110" spans="1:8" ht="25.5" x14ac:dyDescent="0.2">
      <c r="A110" s="98"/>
      <c r="B110" s="89" t="s">
        <v>657</v>
      </c>
      <c r="C110" s="716">
        <v>5208</v>
      </c>
      <c r="D110" s="738"/>
      <c r="E110" s="738"/>
      <c r="F110" s="739"/>
      <c r="G110" s="740" t="s">
        <v>658</v>
      </c>
      <c r="H110" s="227"/>
    </row>
    <row r="111" spans="1:8" x14ac:dyDescent="0.2">
      <c r="A111" s="98"/>
      <c r="B111" s="89" t="s">
        <v>912</v>
      </c>
      <c r="C111" s="742">
        <v>2021</v>
      </c>
      <c r="D111" s="738"/>
      <c r="E111" s="738"/>
      <c r="F111" s="738"/>
      <c r="G111" s="169"/>
    </row>
    <row r="112" spans="1:8" s="68" customFormat="1" ht="25.5" x14ac:dyDescent="0.2">
      <c r="A112" s="96" t="s">
        <v>599</v>
      </c>
      <c r="B112" s="97" t="s">
        <v>640</v>
      </c>
      <c r="C112" s="732">
        <f>C113</f>
        <v>0</v>
      </c>
      <c r="D112" s="732"/>
      <c r="E112" s="732"/>
      <c r="F112" s="732"/>
      <c r="G112" s="741"/>
    </row>
    <row r="113" spans="1:7" x14ac:dyDescent="0.2">
      <c r="A113" s="98" t="s">
        <v>600</v>
      </c>
      <c r="B113" s="271"/>
      <c r="C113" s="738">
        <v>0</v>
      </c>
      <c r="D113" s="738"/>
      <c r="E113" s="738"/>
      <c r="F113" s="738"/>
      <c r="G113" s="169"/>
    </row>
    <row r="114" spans="1:7" x14ac:dyDescent="0.2">
      <c r="A114" s="98" t="s">
        <v>601</v>
      </c>
      <c r="B114" s="99" t="s">
        <v>553</v>
      </c>
      <c r="C114" s="306"/>
      <c r="D114" s="306"/>
      <c r="E114" s="306"/>
      <c r="F114" s="306"/>
      <c r="G114" s="305"/>
    </row>
    <row r="115" spans="1:7" x14ac:dyDescent="0.2">
      <c r="A115" s="98" t="s">
        <v>555</v>
      </c>
      <c r="B115" s="99" t="s">
        <v>553</v>
      </c>
      <c r="C115" s="306"/>
      <c r="D115" s="306"/>
      <c r="E115" s="306"/>
      <c r="F115" s="306"/>
      <c r="G115" s="305"/>
    </row>
    <row r="116" spans="1:7" s="68" customFormat="1" x14ac:dyDescent="0.2">
      <c r="A116" s="69" t="s">
        <v>602</v>
      </c>
      <c r="B116" s="100" t="s">
        <v>592</v>
      </c>
      <c r="C116" s="311"/>
      <c r="D116" s="311"/>
      <c r="E116" s="311"/>
      <c r="F116" s="311"/>
      <c r="G116" s="312"/>
    </row>
  </sheetData>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8CAB5F429D7742B2306E6786D35992" ma:contentTypeVersion="10" ma:contentTypeDescription="Create a new document." ma:contentTypeScope="" ma:versionID="b8a6452e4144f44d3f07beb5f678e755">
  <xsd:schema xmlns:xsd="http://www.w3.org/2001/XMLSchema" xmlns:xs="http://www.w3.org/2001/XMLSchema" xmlns:p="http://schemas.microsoft.com/office/2006/metadata/properties" xmlns:ns3="6d3dcd6d-969d-471b-a53f-a1e8a85eae05" targetNamespace="http://schemas.microsoft.com/office/2006/metadata/properties" ma:root="true" ma:fieldsID="550dd4e28307b56e80e07d50e22d585e" ns3:_="">
    <xsd:import namespace="6d3dcd6d-969d-471b-a53f-a1e8a85eae0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3dcd6d-969d-471b-a53f-a1e8a85ea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D55271-8D0A-4734-9886-4ADCF1ED02C2}">
  <ds:schemaRefs>
    <ds:schemaRef ds:uri="http://schemas.microsoft.com/sharepoint/v3/contenttype/forms"/>
  </ds:schemaRefs>
</ds:datastoreItem>
</file>

<file path=customXml/itemProps2.xml><?xml version="1.0" encoding="utf-8"?>
<ds:datastoreItem xmlns:ds="http://schemas.openxmlformats.org/officeDocument/2006/customXml" ds:itemID="{C5D65408-776E-41A6-956C-2ACC6512DDBF}">
  <ds:schemaRefs>
    <ds:schemaRef ds:uri="http://schemas.microsoft.com/office/2006/documentManagement/types"/>
    <ds:schemaRef ds:uri="http://schemas.microsoft.com/office/2006/metadata/properties"/>
    <ds:schemaRef ds:uri="http://purl.org/dc/dcmitype/"/>
    <ds:schemaRef ds:uri="http://schemas.microsoft.com/office/infopath/2007/PartnerControls"/>
    <ds:schemaRef ds:uri="http://purl.org/dc/terms/"/>
    <ds:schemaRef ds:uri="http://www.w3.org/XML/1998/namespace"/>
    <ds:schemaRef ds:uri="http://schemas.openxmlformats.org/package/2006/metadata/core-properties"/>
    <ds:schemaRef ds:uri="6d3dcd6d-969d-471b-a53f-a1e8a85eae05"/>
    <ds:schemaRef ds:uri="http://purl.org/dc/elements/1.1/"/>
  </ds:schemaRefs>
</ds:datastoreItem>
</file>

<file path=customXml/itemProps3.xml><?xml version="1.0" encoding="utf-8"?>
<ds:datastoreItem xmlns:ds="http://schemas.openxmlformats.org/officeDocument/2006/customXml" ds:itemID="{6FC4A70C-E163-452F-A8B3-CF643C51E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3dcd6d-969d-471b-a53f-a1e8a85ea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7</vt:i4>
      </vt:variant>
      <vt:variant>
        <vt:lpstr>Diapazoni ar nosaukumiem</vt:lpstr>
      </vt:variant>
      <vt:variant>
        <vt:i4>5</vt:i4>
      </vt:variant>
    </vt:vector>
  </HeadingPairs>
  <TitlesOfParts>
    <vt:vector size="12" baseType="lpstr">
      <vt:lpstr>Budžeta_tāme</vt:lpstr>
      <vt:lpstr>PZ_aprēķins</vt:lpstr>
      <vt:lpstr>Bilance</vt:lpstr>
      <vt:lpstr>Naudas_plūsma</vt:lpstr>
      <vt:lpstr>Naturālie_rādītāji</vt:lpstr>
      <vt:lpstr>Ieguldījumu tāme</vt:lpstr>
      <vt:lpstr>Kreditori_Debitori</vt:lpstr>
      <vt:lpstr>Bilance!Drukas_apgabals</vt:lpstr>
      <vt:lpstr>Budžeta_tāme!Drukas_apgabals</vt:lpstr>
      <vt:lpstr>Kreditori_Debitori!Drukas_apgabals</vt:lpstr>
      <vt:lpstr>Naturālie_rādītāji!Drukas_apgabals</vt:lpstr>
      <vt:lpstr>Naturālie_rādītāji!Drukāt_virsrakstus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Karīna Šoka</dc:creator>
  <cp:lastModifiedBy>Anita Vaivode</cp:lastModifiedBy>
  <cp:lastPrinted>2023-02-09T15:43:02Z</cp:lastPrinted>
  <dcterms:created xsi:type="dcterms:W3CDTF">2015-06-08T06:33:04Z</dcterms:created>
  <dcterms:modified xsi:type="dcterms:W3CDTF">2023-02-13T12:44:20Z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5a320f60-c6ab-4277-be08-d6d35fa3b0e4</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0x010100FC8CAB5F429D7742B2306E6786D35992</vt:lpwstr>
  </property>
</Properties>
</file>